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Members" sheetId="2" state="visible" r:id="rId4"/>
    <sheet name="Savings" sheetId="3" state="visible" r:id="rId5"/>
    <sheet name="Loans" sheetId="4" state="visible" r:id="rId6"/>
    <sheet name="Repayments" sheetId="5" state="visible" r:id="rId7"/>
    <sheet name="Shareou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<sst xmlns="http://schemas.openxmlformats.org/spreadsheetml/2006/main" count="168" uniqueCount="156">
  <si>
    <t xml:space="preserve">Savings group starter workbook</t>
  </si>
  <si>
    <t xml:space="preserve">A free paper-to-Excel start for a group that saves, lends and shares out. From KuraiOS, by nexar.</t>
  </si>
  <si>
    <t xml:space="preserve">Your group</t>
  </si>
  <si>
    <t xml:space="preserve">Group name</t>
  </si>
  <si>
    <t xml:space="preserve">Example Savings Group</t>
  </si>
  <si>
    <t xml:space="preserve">Type your group's name.</t>
  </si>
  <si>
    <t xml:space="preserve">Year</t>
  </si>
  <si>
    <t xml:space="preserve">The year this book covers. Savings are entered by month, January to December.</t>
  </si>
  <si>
    <t xml:space="preserve">Interest on loans, per month</t>
  </si>
  <si>
    <t xml:space="preserve">Example value (5%). Set the rate your group agreed. It is applied to the principal still owing, for the days since the last payment.</t>
  </si>
  <si>
    <t xml:space="preserve">Days in a month for interest</t>
  </si>
  <si>
    <t xml:space="preserve">Interest for part of a month = rate x days / this number. 30 is usual.</t>
  </si>
  <si>
    <t xml:space="preserve">Expenses paid out of the interest</t>
  </si>
  <si>
    <t xml:space="preserve">Money the group spent (stationery, the box, transport). It is taken off the interest before the shareout.</t>
  </si>
  <si>
    <t xml:space="preserve">How to use it</t>
  </si>
  <si>
    <t xml:space="preserve">1. Members: write each member once. Up to 40 members.</t>
  </si>
  <si>
    <t xml:space="preserve">2. Savings: at each meeting, type what each member saved in that month's column.</t>
  </si>
  <si>
    <t xml:space="preserve">3. Loans: give each loan a line (the loan numbers L001, L002... are already there). Type the member number, the date and the amount.</t>
  </si>
  <si>
    <t xml:space="preserve">4. Repayments: every time a member pays, add a line: the date, the loan number and the amount paid. The sheet works out the interest to the day paid, and what is left owing.</t>
  </si>
  <si>
    <t xml:space="preserve">5. Shareout: at year end it divides the interest among members by share-months, and checks the cash in the box.</t>
  </si>
  <si>
    <t xml:space="preserve">Cells with blue text on a pale yellow fill are for you to type in. Everything else is worked out; please do not type over it.</t>
  </si>
  <si>
    <t xml:space="preserve">The first line on each sheet is an EXAMPLE with invented figures. Write over it with your own, or clear it.</t>
  </si>
  <si>
    <t xml:space="preserve">Interest that a member does not pay is carried forward and shown as unpaid interest; it is not forgotten.</t>
  </si>
  <si>
    <t xml:space="preserve">When you are ready for the app, KuraiOS Seed does all of this on a phone and keeps the records safe. Free. This workbook is a starting point, not accounting or legal advice.</t>
  </si>
  <si>
    <t xml:space="preserve">Members</t>
  </si>
  <si>
    <t xml:space="preserve">One line per member. The number is used on the other sheets.</t>
  </si>
  <si>
    <t xml:space="preserve">No.</t>
  </si>
  <si>
    <t xml:space="preserve">Name</t>
  </si>
  <si>
    <t xml:space="preserve">Phone</t>
  </si>
  <si>
    <t xml:space="preserve">Date joined</t>
  </si>
  <si>
    <t xml:space="preserve">Notes</t>
  </si>
  <si>
    <t xml:space="preserve">Example Member</t>
  </si>
  <si>
    <t xml:space="preserve">0770 000 000</t>
  </si>
  <si>
    <t xml:space="preserve">EXAMPLE: write over this line</t>
  </si>
  <si>
    <t xml:space="preserve">Savings by month</t>
  </si>
  <si>
    <t xml:space="preserve">Type what each member saved in each month. Totals and share-months are worked out.</t>
  </si>
  <si>
    <t xml:space="preserve">Month number (used for share-months)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</si>
  <si>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</si>
  <si>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</si>
  <si>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</si>
  <si>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</si>
  <si>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</si>
  <si>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</si>
  <si>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</si>
  <si>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</si>
  <si>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</si>
  <si>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</si>
  <si>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</si>
  <si>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</si>
  <si>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 saved</t>
  </si>
  <si>
    <t xml:space="preserve">Share-months</t>
  </si>
  <si>
    <t xml:space="preserve">Total</t>
  </si>
  <si>
    <t xml:space="preserve">Share-months: a dollar saved in January counts for 12 months, one saved in December for 1. Shareout divides the interest by this.</t>
  </si>
  <si>
    <t xml:space="preserve">Loans</t>
  </si>
  <si>
    <t xml:space="preserve">One line per loan. Type the grey-yellow cells; the rest follows from the Repayments sheet.</t>
  </si>
  <si>
    <t xml:space="preserve">Loan no.</t>
  </si>
  <si>
    <t xml:space="preserve">Member no.</t>
  </si>
  <si>
    <t xml:space="preserve">Member</t>
  </si>
  <si>
    <t xml:space="preserve">Date lent</t>
  </si>
  <si>
    <t xml:space="preserve">Amount lent</t>
  </si>
  <si>
    <t xml:space="preserve">Principal repaid</t>
  </si>
  <si>
    <t xml:space="preserve">Interest paid</t>
  </si>
  <si>
    <t xml:space="preserve">Principal owing</t>
  </si>
  <si>
    <t xml:space="preserve">Unpaid interest</t>
  </si>
  <si>
    <t xml:space="preserve">Status</t>
  </si>
  <si>
    <t xml:space="preserve">L001</t>
  </si>
  <si>
    <t xml:space="preserve">L002</t>
  </si>
  <si>
    <t xml:space="preserve">L003</t>
  </si>
  <si>
    <t xml:space="preserve">L004</t>
  </si>
  <si>
    <t xml:space="preserve">L005</t>
  </si>
  <si>
    <t xml:space="preserve">L006</t>
  </si>
  <si>
    <t xml:space="preserve">L007</t>
  </si>
  <si>
    <t xml:space="preserve">L008</t>
  </si>
  <si>
    <t xml:space="preserve">L009</t>
  </si>
  <si>
    <t xml:space="preserve">L010</t>
  </si>
  <si>
    <t xml:space="preserve">L011</t>
  </si>
  <si>
    <t xml:space="preserve">L012</t>
  </si>
  <si>
    <t xml:space="preserve">L013</t>
  </si>
  <si>
    <t xml:space="preserve">L014</t>
  </si>
  <si>
    <t xml:space="preserve">L015</t>
  </si>
  <si>
    <t xml:space="preserve">L016</t>
  </si>
  <si>
    <t xml:space="preserve">L017</t>
  </si>
  <si>
    <t xml:space="preserve">L018</t>
  </si>
  <si>
    <t xml:space="preserve">L019</t>
  </si>
  <si>
    <t xml:space="preserve">L020</t>
  </si>
  <si>
    <t xml:space="preserve">L021</t>
  </si>
  <si>
    <t xml:space="preserve">L022</t>
  </si>
  <si>
    <t xml:space="preserve">L023</t>
  </si>
  <si>
    <t xml:space="preserve">L024</t>
  </si>
  <si>
    <t xml:space="preserve">L025</t>
  </si>
  <si>
    <t xml:space="preserve">L026</t>
  </si>
  <si>
    <t xml:space="preserve">L027</t>
  </si>
  <si>
    <t xml:space="preserve">L028</t>
  </si>
  <si>
    <t xml:space="preserve">L029</t>
  </si>
  <si>
    <t xml:space="preserve">L030</t>
  </si>
  <si>
    <t xml:space="preserve">L031</t>
  </si>
  <si>
    <t xml:space="preserve">L032</t>
  </si>
  <si>
    <t xml:space="preserve">L033</t>
  </si>
  <si>
    <t xml:space="preserve">L034</t>
  </si>
  <si>
    <t xml:space="preserve">L035</t>
  </si>
  <si>
    <t xml:space="preserve">L036</t>
  </si>
  <si>
    <t xml:space="preserve">L037</t>
  </si>
  <si>
    <t xml:space="preserve">L038</t>
  </si>
  <si>
    <t xml:space="preserve">L039</t>
  </si>
  <si>
    <t xml:space="preserve">L040</t>
  </si>
  <si>
    <t xml:space="preserve">L041</t>
  </si>
  <si>
    <t xml:space="preserve">L042</t>
  </si>
  <si>
    <t xml:space="preserve">L043</t>
  </si>
  <si>
    <t xml:space="preserve">L044</t>
  </si>
  <si>
    <t xml:space="preserve">L045</t>
  </si>
  <si>
    <t xml:space="preserve">L046</t>
  </si>
  <si>
    <t xml:space="preserve">L047</t>
  </si>
  <si>
    <t xml:space="preserve">L048</t>
  </si>
  <si>
    <t xml:space="preserve">L049</t>
  </si>
  <si>
    <t xml:space="preserve">L050</t>
  </si>
  <si>
    <t xml:space="preserve">L051</t>
  </si>
  <si>
    <t xml:space="preserve">L052</t>
  </si>
  <si>
    <t xml:space="preserve">L053</t>
  </si>
  <si>
    <t xml:space="preserve">L054</t>
  </si>
  <si>
    <t xml:space="preserve">L055</t>
  </si>
  <si>
    <t xml:space="preserve">L056</t>
  </si>
  <si>
    <t xml:space="preserve">L057</t>
  </si>
  <si>
    <t xml:space="preserve">L058</t>
  </si>
  <si>
    <t xml:space="preserve">L059</t>
  </si>
  <si>
    <t xml:space="preserve">L060</t>
  </si>
  <si>
    <t xml:space="preserve">Repayments</t>
  </si>
  <si>
    <t xml:space="preserve">Every payment on a loan. Interest is worked to the day paid, and is paid first.</t>
  </si>
  <si>
    <t xml:space="preserve">If a member pays more than the principal and interest owing, the extra is not counted: check the amount.</t>
  </si>
  <si>
    <t xml:space="preserve">Date paid</t>
  </si>
  <si>
    <t xml:space="preserve">Amount paid</t>
  </si>
  <si>
    <t xml:space="preserve">Last payment before this</t>
  </si>
  <si>
    <t xml:space="preserve">Days</t>
  </si>
  <si>
    <t xml:space="preserve">Principal owing before</t>
  </si>
  <si>
    <t xml:space="preserve">Interest for these days</t>
  </si>
  <si>
    <t xml:space="preserve">Unpaid interest before</t>
  </si>
  <si>
    <t xml:space="preserve">Principal paid</t>
  </si>
  <si>
    <t xml:space="preserve">Principal owing after</t>
  </si>
  <si>
    <t xml:space="preserve">Unpaid interest after</t>
  </si>
  <si>
    <t xml:space="preserve">Year-end shareout and cash check</t>
  </si>
  <si>
    <t xml:space="preserve">The interest, less expenses, is shared by share-months. Each member also gets their savings back.</t>
  </si>
  <si>
    <t xml:space="preserve">Interest collected in the year</t>
  </si>
  <si>
    <t xml:space="preserve">Less expenses</t>
  </si>
  <si>
    <t xml:space="preserve">Interest to share out</t>
  </si>
  <si>
    <t xml:space="preserve">Total share-months</t>
  </si>
  <si>
    <t xml:space="preserve">Total savings to return</t>
  </si>
  <si>
    <t xml:space="preserve">Total payout to members</t>
  </si>
  <si>
    <t xml:space="preserve">Principal still owing on loans</t>
  </si>
  <si>
    <t xml:space="preserve">Cash the box should hold now</t>
  </si>
  <si>
    <t xml:space="preserve">Cash you counted (type it in)</t>
  </si>
  <si>
    <t xml:space="preserve">Count the cash and savings in hand, then type it here.</t>
  </si>
  <si>
    <t xml:space="preserve">Difference (counted less expected)</t>
  </si>
  <si>
    <t xml:space="preserve">Cash still needed to pay everyone out</t>
  </si>
  <si>
    <t xml:space="preserve">Loans still owing must be collected, or carried, before everyone can be paid out.</t>
  </si>
  <si>
    <t xml:space="preserve">Savings back</t>
  </si>
  <si>
    <t xml:space="preserve">Share of interest</t>
  </si>
  <si>
    <t xml:space="preserve">Total payout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</si>
</sst>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%"/>
    <numFmt numFmtId="167" formatCode="#,##0.00;\(#,##0.00\);\-"/>
    <numFmt numFmtId="168" formatCode="dd\ mmm\ 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5265B"/>
      <name val="Arial"/>
      <family val="0"/>
      <charset val="1"/>
    </font>
    <font>
      <i val="true"/>
      <sz val="10"/>
      <color rgb="FF4B5873"/>
      <name val="Arial"/>
      <family val="0"/>
      <charset val="1"/>
    </font>
    <font>
      <b val="true"/>
      <sz val="12"/>
      <color rgb="FF3180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4B587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7A869E"/>
      <name val="Arial"/>
      <family val="0"/>
      <charset val="1"/>
    </font>
    <font>
      <i val="true"/>
      <sz val="9"/>
      <color rgb="FF4B5873"/>
      <name val="Arial"/>
      <family val="0"/>
      <charset val="1"/>
    </font>
    <font>
      <i val="true"/>
      <sz val="10"/>
      <color rgb="FF7A869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05265B"/>
        <bgColor rgb="FF333333"/>
      </patternFill>
    </fill>
    <fill>
      <patternFill patternType="solid">
        <fgColor rgb="FFEEF3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69E"/>
      <rgbColor rgb="FF9999FF"/>
      <rgbColor rgb="FF993366"/>
      <rgbColor rgb="FFFFF9DB"/>
      <rgbColor rgb="FFEEF3FA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873"/>
      <rgbColor rgb="FF969696"/>
      <rgbColor rgb="FF05265B"/>
      <rgbColor rgb="FF31803E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6" t="s">
        <v>5</v>
      </c>
    </row>
    <row r="6" customFormat="false" ht="15" hidden="false" customHeight="false" outlineLevel="0" collapsed="false">
      <c r="A6" s="4" t="s">
        <v>6</v>
      </c>
      <c r="B6" s="7" t="n">
        <v>2026</v>
      </c>
      <c r="C6" s="6" t="s">
        <v>7</v>
      </c>
    </row>
    <row r="7" customFormat="false" ht="23.85" hidden="false" customHeight="false" outlineLevel="0" collapsed="false">
      <c r="A7" s="4" t="s">
        <v>8</v>
      </c>
      <c r="B7" s="8" t="n">
        <v>0.05</v>
      </c>
      <c r="C7" s="6" t="s">
        <v>9</v>
      </c>
    </row>
    <row r="8" customFormat="false" ht="15" hidden="false" customHeight="false" outlineLevel="0" collapsed="false">
      <c r="A8" s="4" t="s">
        <v>10</v>
      </c>
      <c r="B8" s="7" t="n">
        <v>30</v>
      </c>
      <c r="C8" s="6" t="s">
        <v>11</v>
      </c>
    </row>
    <row r="9" customFormat="false" ht="23.85" hidden="false" customHeight="false" outlineLevel="0" collapsed="false">
      <c r="A9" s="4" t="s">
        <v>12</v>
      </c>
      <c r="B9" s="9" t="n">
        <v>0</v>
      </c>
      <c r="C9" s="6" t="s">
        <v>13</v>
      </c>
    </row>
    <row r="11" customFormat="false" ht="15" hidden="false" customHeight="false" outlineLevel="0" collapsed="false">
      <c r="A11" s="3" t="s">
        <v>14</v>
      </c>
    </row>
    <row r="12" customFormat="false" ht="15.75" hidden="false" customHeight="true" outlineLevel="0" collapsed="false">
      <c r="A12" s="10" t="s">
        <v>15</v>
      </c>
      <c r="B12" s="10"/>
      <c r="C12" s="10"/>
    </row>
    <row r="13" customFormat="false" ht="15.75" hidden="false" customHeight="true" outlineLevel="0" collapsed="false">
      <c r="A13" s="10" t="s">
        <v>16</v>
      </c>
      <c r="B13" s="10"/>
      <c r="C13" s="10"/>
    </row>
    <row r="14" customFormat="false" ht="27.75" hidden="false" customHeight="true" outlineLevel="0" collapsed="false">
      <c r="A14" s="10" t="s">
        <v>17</v>
      </c>
      <c r="B14" s="10"/>
      <c r="C14" s="10"/>
    </row>
    <row r="15" customFormat="false" ht="27.75" hidden="false" customHeight="true" outlineLevel="0" collapsed="false">
      <c r="A15" s="10" t="s">
        <v>18</v>
      </c>
      <c r="B15" s="10"/>
      <c r="C15" s="10"/>
    </row>
    <row r="16" customFormat="false" ht="27.75" hidden="false" customHeight="true" outlineLevel="0" collapsed="false">
      <c r="A16" s="10" t="s">
        <v>19</v>
      </c>
      <c r="B16" s="10"/>
      <c r="C16" s="10"/>
    </row>
    <row r="17" customFormat="false" ht="27.75" hidden="false" customHeight="true" outlineLevel="0" collapsed="false">
      <c r="A17" s="10" t="s">
        <v>20</v>
      </c>
      <c r="B17" s="10"/>
      <c r="C17" s="10"/>
    </row>
    <row r="18" customFormat="false" ht="27.75" hidden="false" customHeight="true" outlineLevel="0" collapsed="false">
      <c r="A18" s="10" t="s">
        <v>21</v>
      </c>
      <c r="B18" s="10"/>
      <c r="C18" s="10"/>
    </row>
    <row r="19" customFormat="false" ht="27.75" hidden="false" customHeight="true" outlineLevel="0" collapsed="false">
      <c r="A19" s="10" t="s">
        <v>22</v>
      </c>
      <c r="B19" s="10"/>
      <c r="C19" s="10"/>
    </row>
    <row r="21" customFormat="false" ht="30" hidden="false" customHeight="true" outlineLevel="0" collapsed="false">
      <c r="A21" s="11" t="s">
        <v>23</v>
      </c>
      <c r="B21" s="11"/>
      <c r="C21" s="11"/>
    </row>
  </sheetData>
  <mergeCells count="9">
    <mergeCell ref="A12:C12"/>
    <mergeCell ref="A13:C13"/>
    <mergeCell ref="A14:C14"/>
    <mergeCell ref="A15:C15"/>
    <mergeCell ref="A16:C16"/>
    <mergeCell ref="A17:C17"/>
    <mergeCell ref="A18:C18"/>
    <mergeCell ref="A19:C19"/>
    <mergeCell ref="A21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5" customFormat="false" ht="31.5" hidden="false" customHeight="true" outlineLevel="0" collapsed="false">
      <c r="A5" s="12" t="s">
        <v>26</v>
      </c>
      <c r="B5" s="12" t="s">
        <v>27</v>
      </c>
      <c r="C5" s="12" t="s">
        <v>28</v>
      </c>
      <c r="D5" s="12" t="s">
        <v>29</v>
      </c>
      <c r="E5" s="12" t="s">
        <v>30</v>
      </c>
    </row>
    <row r="6" customFormat="false" ht="15" hidden="false" customHeight="false" outlineLevel="0" collapsed="false">
      <c r="A6" s="13" t="n">
        <v>1</v>
      </c>
      <c r="B6" s="5" t="s">
        <v>31</v>
      </c>
      <c r="C6" s="5" t="s">
        <v>32</v>
      </c>
      <c r="D6" s="14" t="n">
        <v>46027</v>
      </c>
      <c r="E6" s="5" t="s">
        <v>33</v>
      </c>
    </row>
    <row r="7" customFormat="false" ht="15" hidden="false" customHeight="false" outlineLevel="0" collapsed="false">
      <c r="A7" s="13" t="n">
        <v>2</v>
      </c>
      <c r="B7" s="5"/>
      <c r="C7" s="5"/>
      <c r="D7" s="14"/>
      <c r="E7" s="5"/>
    </row>
    <row r="8" customFormat="false" ht="15" hidden="false" customHeight="false" outlineLevel="0" collapsed="false">
      <c r="A8" s="13" t="n">
        <v>3</v>
      </c>
      <c r="B8" s="5"/>
      <c r="C8" s="5"/>
      <c r="D8" s="14"/>
      <c r="E8" s="5"/>
    </row>
    <row r="9" customFormat="false" ht="15" hidden="false" customHeight="false" outlineLevel="0" collapsed="false">
      <c r="A9" s="13" t="n">
        <v>4</v>
      </c>
      <c r="B9" s="5"/>
      <c r="C9" s="5"/>
      <c r="D9" s="14"/>
      <c r="E9" s="5"/>
    </row>
    <row r="10" customFormat="false" ht="15" hidden="false" customHeight="false" outlineLevel="0" collapsed="false">
      <c r="A10" s="13" t="n">
        <v>5</v>
      </c>
      <c r="B10" s="5"/>
      <c r="C10" s="5"/>
      <c r="D10" s="14"/>
      <c r="E10" s="5"/>
    </row>
    <row r="11" customFormat="false" ht="15" hidden="false" customHeight="false" outlineLevel="0" collapsed="false">
      <c r="A11" s="13" t="n">
        <v>6</v>
      </c>
      <c r="B11" s="5"/>
      <c r="C11" s="5"/>
      <c r="D11" s="14"/>
      <c r="E11" s="5"/>
    </row>
    <row r="12" customFormat="false" ht="15" hidden="false" customHeight="false" outlineLevel="0" collapsed="false">
      <c r="A12" s="13" t="n">
        <v>7</v>
      </c>
      <c r="B12" s="5"/>
      <c r="C12" s="5"/>
      <c r="D12" s="14"/>
      <c r="E12" s="5"/>
    </row>
    <row r="13" customFormat="false" ht="15" hidden="false" customHeight="false" outlineLevel="0" collapsed="false">
      <c r="A13" s="13" t="n">
        <v>8</v>
      </c>
      <c r="B13" s="5"/>
      <c r="C13" s="5"/>
      <c r="D13" s="14"/>
      <c r="E13" s="5"/>
    </row>
    <row r="14" customFormat="false" ht="15" hidden="false" customHeight="false" outlineLevel="0" collapsed="false">
      <c r="A14" s="13" t="n">
        <v>9</v>
      </c>
      <c r="B14" s="5"/>
      <c r="C14" s="5"/>
      <c r="D14" s="14"/>
      <c r="E14" s="5"/>
    </row>
    <row r="15" customFormat="false" ht="15" hidden="false" customHeight="false" outlineLevel="0" collapsed="false">
      <c r="A15" s="13" t="n">
        <v>10</v>
      </c>
      <c r="B15" s="5"/>
      <c r="C15" s="5"/>
      <c r="D15" s="14"/>
      <c r="E15" s="5"/>
    </row>
    <row r="16" customFormat="false" ht="15" hidden="false" customHeight="false" outlineLevel="0" collapsed="false">
      <c r="A16" s="13" t="n">
        <v>11</v>
      </c>
      <c r="B16" s="5"/>
      <c r="C16" s="5"/>
      <c r="D16" s="14"/>
      <c r="E16" s="5"/>
    </row>
    <row r="17" customFormat="false" ht="15" hidden="false" customHeight="false" outlineLevel="0" collapsed="false">
      <c r="A17" s="13" t="n">
        <v>12</v>
      </c>
      <c r="B17" s="5"/>
      <c r="C17" s="5"/>
      <c r="D17" s="14"/>
      <c r="E17" s="5"/>
    </row>
    <row r="18" customFormat="false" ht="15" hidden="false" customHeight="false" outlineLevel="0" collapsed="false">
      <c r="A18" s="13" t="n">
        <v>13</v>
      </c>
      <c r="B18" s="5"/>
      <c r="C18" s="5"/>
      <c r="D18" s="14"/>
      <c r="E18" s="5"/>
    </row>
    <row r="19" customFormat="false" ht="15" hidden="false" customHeight="false" outlineLevel="0" collapsed="false">
      <c r="A19" s="13" t="n">
        <v>14</v>
      </c>
      <c r="B19" s="5"/>
      <c r="C19" s="5"/>
      <c r="D19" s="14"/>
      <c r="E19" s="5"/>
    </row>
    <row r="20" customFormat="false" ht="15" hidden="false" customHeight="false" outlineLevel="0" collapsed="false">
      <c r="A20" s="13" t="n">
        <v>15</v>
      </c>
      <c r="B20" s="5"/>
      <c r="C20" s="5"/>
      <c r="D20" s="14"/>
      <c r="E20" s="5"/>
    </row>
    <row r="21" customFormat="false" ht="15" hidden="false" customHeight="false" outlineLevel="0" collapsed="false">
      <c r="A21" s="13" t="n">
        <v>16</v>
      </c>
      <c r="B21" s="5"/>
      <c r="C21" s="5"/>
      <c r="D21" s="14"/>
      <c r="E21" s="5"/>
    </row>
    <row r="22" customFormat="false" ht="15" hidden="false" customHeight="false" outlineLevel="0" collapsed="false">
      <c r="A22" s="13" t="n">
        <v>17</v>
      </c>
      <c r="B22" s="5"/>
      <c r="C22" s="5"/>
      <c r="D22" s="14"/>
      <c r="E22" s="5"/>
    </row>
    <row r="23" customFormat="false" ht="15" hidden="false" customHeight="false" outlineLevel="0" collapsed="false">
      <c r="A23" s="13" t="n">
        <v>18</v>
      </c>
      <c r="B23" s="5"/>
      <c r="C23" s="5"/>
      <c r="D23" s="14"/>
      <c r="E23" s="5"/>
    </row>
    <row r="24" customFormat="false" ht="15" hidden="false" customHeight="false" outlineLevel="0" collapsed="false">
      <c r="A24" s="13" t="n">
        <v>19</v>
      </c>
      <c r="B24" s="5"/>
      <c r="C24" s="5"/>
      <c r="D24" s="14"/>
      <c r="E24" s="5"/>
    </row>
    <row r="25" customFormat="false" ht="15" hidden="false" customHeight="false" outlineLevel="0" collapsed="false">
      <c r="A25" s="13" t="n">
        <v>20</v>
      </c>
      <c r="B25" s="5"/>
      <c r="C25" s="5"/>
      <c r="D25" s="14"/>
      <c r="E25" s="5"/>
    </row>
    <row r="26" customFormat="false" ht="15" hidden="false" customHeight="false" outlineLevel="0" collapsed="false">
      <c r="A26" s="13" t="n">
        <v>21</v>
      </c>
      <c r="B26" s="5"/>
      <c r="C26" s="5"/>
      <c r="D26" s="14"/>
      <c r="E26" s="5"/>
    </row>
    <row r="27" customFormat="false" ht="15" hidden="false" customHeight="false" outlineLevel="0" collapsed="false">
      <c r="A27" s="13" t="n">
        <v>22</v>
      </c>
      <c r="B27" s="5"/>
      <c r="C27" s="5"/>
      <c r="D27" s="14"/>
      <c r="E27" s="5"/>
    </row>
    <row r="28" customFormat="false" ht="15" hidden="false" customHeight="false" outlineLevel="0" collapsed="false">
      <c r="A28" s="13" t="n">
        <v>23</v>
      </c>
      <c r="B28" s="5"/>
      <c r="C28" s="5"/>
      <c r="D28" s="14"/>
      <c r="E28" s="5"/>
    </row>
    <row r="29" customFormat="false" ht="15" hidden="false" customHeight="false" outlineLevel="0" collapsed="false">
      <c r="A29" s="13" t="n">
        <v>24</v>
      </c>
      <c r="B29" s="5"/>
      <c r="C29" s="5"/>
      <c r="D29" s="14"/>
      <c r="E29" s="5"/>
    </row>
    <row r="30" customFormat="false" ht="15" hidden="false" customHeight="false" outlineLevel="0" collapsed="false">
      <c r="A30" s="13" t="n">
        <v>25</v>
      </c>
      <c r="B30" s="5"/>
      <c r="C30" s="5"/>
      <c r="D30" s="14"/>
      <c r="E30" s="5"/>
    </row>
    <row r="31" customFormat="false" ht="15" hidden="false" customHeight="false" outlineLevel="0" collapsed="false">
      <c r="A31" s="13" t="n">
        <v>26</v>
      </c>
      <c r="B31" s="5"/>
      <c r="C31" s="5"/>
      <c r="D31" s="14"/>
      <c r="E31" s="5"/>
    </row>
    <row r="32" customFormat="false" ht="15" hidden="false" customHeight="false" outlineLevel="0" collapsed="false">
      <c r="A32" s="13" t="n">
        <v>27</v>
      </c>
      <c r="B32" s="5"/>
      <c r="C32" s="5"/>
      <c r="D32" s="14"/>
      <c r="E32" s="5"/>
    </row>
    <row r="33" customFormat="false" ht="15" hidden="false" customHeight="false" outlineLevel="0" collapsed="false">
      <c r="A33" s="13" t="n">
        <v>28</v>
      </c>
      <c r="B33" s="5"/>
      <c r="C33" s="5"/>
      <c r="D33" s="14"/>
      <c r="E33" s="5"/>
    </row>
    <row r="34" customFormat="false" ht="15" hidden="false" customHeight="false" outlineLevel="0" collapsed="false">
      <c r="A34" s="13" t="n">
        <v>29</v>
      </c>
      <c r="B34" s="5"/>
      <c r="C34" s="5"/>
      <c r="D34" s="14"/>
      <c r="E34" s="5"/>
    </row>
    <row r="35" customFormat="false" ht="15" hidden="false" customHeight="false" outlineLevel="0" collapsed="false">
      <c r="A35" s="13" t="n">
        <v>30</v>
      </c>
      <c r="B35" s="5"/>
      <c r="C35" s="5"/>
      <c r="D35" s="14"/>
      <c r="E35" s="5"/>
    </row>
    <row r="36" customFormat="false" ht="15" hidden="false" customHeight="false" outlineLevel="0" collapsed="false">
      <c r="A36" s="13" t="n">
        <v>31</v>
      </c>
      <c r="B36" s="5"/>
      <c r="C36" s="5"/>
      <c r="D36" s="14"/>
      <c r="E36" s="5"/>
    </row>
    <row r="37" customFormat="false" ht="15" hidden="false" customHeight="false" outlineLevel="0" collapsed="false">
      <c r="A37" s="13" t="n">
        <v>32</v>
      </c>
      <c r="B37" s="5"/>
      <c r="C37" s="5"/>
      <c r="D37" s="14"/>
      <c r="E37" s="5"/>
    </row>
    <row r="38" customFormat="false" ht="15" hidden="false" customHeight="false" outlineLevel="0" collapsed="false">
      <c r="A38" s="13" t="n">
        <v>33</v>
      </c>
      <c r="B38" s="5"/>
      <c r="C38" s="5"/>
      <c r="D38" s="14"/>
      <c r="E38" s="5"/>
    </row>
    <row r="39" customFormat="false" ht="15" hidden="false" customHeight="false" outlineLevel="0" collapsed="false">
      <c r="A39" s="13" t="n">
        <v>34</v>
      </c>
      <c r="B39" s="5"/>
      <c r="C39" s="5"/>
      <c r="D39" s="14"/>
      <c r="E39" s="5"/>
    </row>
    <row r="40" customFormat="false" ht="15" hidden="false" customHeight="false" outlineLevel="0" collapsed="false">
      <c r="A40" s="13" t="n">
        <v>35</v>
      </c>
      <c r="B40" s="5"/>
      <c r="C40" s="5"/>
      <c r="D40" s="14"/>
      <c r="E40" s="5"/>
    </row>
    <row r="41" customFormat="false" ht="15" hidden="false" customHeight="false" outlineLevel="0" collapsed="false">
      <c r="A41" s="13" t="n">
        <v>36</v>
      </c>
      <c r="B41" s="5"/>
      <c r="C41" s="5"/>
      <c r="D41" s="14"/>
      <c r="E41" s="5"/>
    </row>
    <row r="42" customFormat="false" ht="15" hidden="false" customHeight="false" outlineLevel="0" collapsed="false">
      <c r="A42" s="13" t="n">
        <v>37</v>
      </c>
      <c r="B42" s="5"/>
      <c r="C42" s="5"/>
      <c r="D42" s="14"/>
      <c r="E42" s="5"/>
    </row>
    <row r="43" customFormat="false" ht="15" hidden="false" customHeight="false" outlineLevel="0" collapsed="false">
      <c r="A43" s="13" t="n">
        <v>38</v>
      </c>
      <c r="B43" s="5"/>
      <c r="C43" s="5"/>
      <c r="D43" s="14"/>
      <c r="E43" s="5"/>
    </row>
    <row r="44" customFormat="false" ht="15" hidden="false" customHeight="false" outlineLevel="0" collapsed="false">
      <c r="A44" s="13" t="n">
        <v>39</v>
      </c>
      <c r="B44" s="5"/>
      <c r="C44" s="5"/>
      <c r="D44" s="14"/>
      <c r="E44" s="5"/>
    </row>
    <row r="45" customFormat="false" ht="15" hidden="false" customHeight="false" outlineLevel="0" collapsed="false">
      <c r="A45" s="13" t="n">
        <v>40</v>
      </c>
      <c r="B45" s="5"/>
      <c r="C45" s="5"/>
      <c r="D45" s="14"/>
      <c r="E45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8"/>
    <col collapsed="false" customWidth="true" hidden="false" outlineLevel="0" max="14" min="3" style="0" width="9"/>
    <col collapsed="false" customWidth="true" hidden="false" outlineLevel="0" max="15" min="15" style="0" width="13"/>
    <col collapsed="false" customWidth="true" hidden="false" outlineLevel="0" max="16" min="16" style="0" width="14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B4" s="15" t="s">
        <v>36</v>
      </c>
      <c r="C4" s="16" t="n">
        <v>1</v>
      </c>
      <c r="D4" s="16" t="n">
        <v>2</v>
      </c>
      <c r="E4" s="16" t="n">
        <v>3</v>
      </c>
      <c r="F4" s="16" t="n">
        <v>4</v>
      </c>
      <c r="G4" s="16" t="n">
        <v>5</v>
      </c>
      <c r="H4" s="16" t="n">
        <v>6</v>
      </c>
      <c r="I4" s="16" t="n">
        <v>7</v>
      </c>
      <c r="J4" s="16" t="n">
        <v>8</v>
      </c>
      <c r="K4" s="16" t="n">
        <v>9</v>
      </c>
      <c r="L4" s="16" t="n">
        <v>10</v>
      </c>
      <c r="M4" s="16" t="n">
        <v>11</v>
      </c>
      <c r="N4" s="16" t="n">
        <v>12</v>
      </c>
    </row>
    <row r="5" customFormat="false" ht="31.5" hidden="false" customHeight="true" outlineLevel="0" collapsed="false">
      <c r="A5" s="12" t="s">
        <v>26</v>
      </c>
      <c r="B5" s="12" t="s">
        <v>27</v>
      </c>
      <c r="C5" s="12" t="s">
        <v>37</v>
      </c>
      <c r="D5" s="12" t="s">
        <v>38</v>
      </c>
      <c r="E5" s="12" t="s">
        <v>39</v>
      </c>
      <c r="F5" s="12" t="s">
        <v>40</v>
      </c>
      <c r="G5" s="12" t="s">
        <v>41</v>
      </c>
      <c r="H5" s="12" t="s">
        <v>42</v>
      </c>
      <c r="I5" s="12" t="s">
        <v>43</v>
      </c>
      <c r="J5" s="12" t="s">
        <v>44</v>
      </c>
      <c r="K5" s="12" t="s">
        <v>45</v>
      </c>
      <c r="L5" s="12" t="s">
        <v>46</v>
      </c>
      <c r="M5" s="12" t="s">
        <v>47</v>
      </c>
      <c r="N5" s="12" t="s">
        <v>48</v>
      </c>
      <c r="O5" s="12" t="s">
        <v>49</v>
      </c>
      <c r="P5" s="12" t="s">
        <v>50</v>
      </c>
    </row>
    <row r="6" customFormat="false" ht="15" hidden="false" customHeight="false" outlineLevel="0" collapsed="false">
      <c r="A6" s="13" t="n">
        <f aca="false">Members!A6</f>
        <v>1</v>
      </c>
      <c r="B6" s="17" t="str">
        <f aca="false">IF(Members!B6="","",Members!B6)</f>
        <v>Example Member</v>
      </c>
      <c r="C6" s="9" t="n">
        <v>10</v>
      </c>
      <c r="D6" s="9" t="n">
        <v>10</v>
      </c>
      <c r="E6" s="9" t="n">
        <v>10</v>
      </c>
      <c r="F6" s="9"/>
      <c r="G6" s="9"/>
      <c r="H6" s="9"/>
      <c r="I6" s="9"/>
      <c r="J6" s="9"/>
      <c r="K6" s="9"/>
      <c r="L6" s="9"/>
      <c r="M6" s="9"/>
      <c r="N6" s="9"/>
      <c r="O6" s="18" t="n">
        <f aca="false">SUM(C6:N6)</f>
        <v>30</v>
      </c>
      <c r="P6" s="19" t="n">
        <f aca="false">SUMPRODUCT(C6:N6,13-$C$4:$N$4)</f>
        <v>330</v>
      </c>
    </row>
    <row r="7" customFormat="false" ht="15" hidden="false" customHeight="false" outlineLevel="0" collapsed="false">
      <c r="A7" s="13" t="n">
        <f aca="false">Members!A7</f>
        <v>2</v>
      </c>
      <c r="B7" s="17" t="str">
        <f aca="false">IF(Members!B7="","",Members!B7)</f>
        <v/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8" t="n">
        <f aca="false">SUM(C7:N7)</f>
        <v>0</v>
      </c>
      <c r="P7" s="19" t="n">
        <f aca="false">SUMPRODUCT(C7:N7,13-$C$4:$N$4)</f>
        <v>0</v>
      </c>
    </row>
    <row r="8" customFormat="false" ht="15" hidden="false" customHeight="false" outlineLevel="0" collapsed="false">
      <c r="A8" s="13" t="n">
        <f aca="false">Members!A8</f>
        <v>3</v>
      </c>
      <c r="B8" s="17" t="str">
        <f aca="false">IF(Members!B8="","",Members!B8)</f>
        <v/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8" t="n">
        <f aca="false">SUM(C8:N8)</f>
        <v>0</v>
      </c>
      <c r="P8" s="19" t="n">
        <f aca="false">SUMPRODUCT(C8:N8,13-$C$4:$N$4)</f>
        <v>0</v>
      </c>
    </row>
    <row r="9" customFormat="false" ht="15" hidden="false" customHeight="false" outlineLevel="0" collapsed="false">
      <c r="A9" s="13" t="n">
        <f aca="false">Members!A9</f>
        <v>4</v>
      </c>
      <c r="B9" s="17" t="str">
        <f aca="false">IF(Members!B9="","",Members!B9)</f>
        <v/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8" t="n">
        <f aca="false">SUM(C9:N9)</f>
        <v>0</v>
      </c>
      <c r="P9" s="19" t="n">
        <f aca="false">SUMPRODUCT(C9:N9,13-$C$4:$N$4)</f>
        <v>0</v>
      </c>
    </row>
    <row r="10" customFormat="false" ht="15" hidden="false" customHeight="false" outlineLevel="0" collapsed="false">
      <c r="A10" s="13" t="n">
        <f aca="false">Members!A10</f>
        <v>5</v>
      </c>
      <c r="B10" s="17" t="str">
        <f aca="false">IF(Members!B10="","",Members!B10)</f>
        <v/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8" t="n">
        <f aca="false">SUM(C10:N10)</f>
        <v>0</v>
      </c>
      <c r="P10" s="19" t="n">
        <f aca="false">SUMPRODUCT(C10:N10,13-$C$4:$N$4)</f>
        <v>0</v>
      </c>
    </row>
    <row r="11" customFormat="false" ht="15" hidden="false" customHeight="false" outlineLevel="0" collapsed="false">
      <c r="A11" s="13" t="n">
        <f aca="false">Members!A11</f>
        <v>6</v>
      </c>
      <c r="B11" s="17" t="str">
        <f aca="false">IF(Members!B11="","",Members!B11)</f>
        <v/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8" t="n">
        <f aca="false">SUM(C11:N11)</f>
        <v>0</v>
      </c>
      <c r="P11" s="19" t="n">
        <f aca="false">SUMPRODUCT(C11:N11,13-$C$4:$N$4)</f>
        <v>0</v>
      </c>
    </row>
    <row r="12" customFormat="false" ht="15" hidden="false" customHeight="false" outlineLevel="0" collapsed="false">
      <c r="A12" s="13" t="n">
        <f aca="false">Members!A12</f>
        <v>7</v>
      </c>
      <c r="B12" s="17" t="str">
        <f aca="false">IF(Members!B12="","",Members!B12)</f>
        <v/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8" t="n">
        <f aca="false">SUM(C12:N12)</f>
        <v>0</v>
      </c>
      <c r="P12" s="19" t="n">
        <f aca="false">SUMPRODUCT(C12:N12,13-$C$4:$N$4)</f>
        <v>0</v>
      </c>
    </row>
    <row r="13" customFormat="false" ht="15" hidden="false" customHeight="false" outlineLevel="0" collapsed="false">
      <c r="A13" s="13" t="n">
        <f aca="false">Members!A13</f>
        <v>8</v>
      </c>
      <c r="B13" s="17" t="str">
        <f aca="false">IF(Members!B13="","",Members!B13)</f>
        <v/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8" t="n">
        <f aca="false">SUM(C13:N13)</f>
        <v>0</v>
      </c>
      <c r="P13" s="19" t="n">
        <f aca="false">SUMPRODUCT(C13:N13,13-$C$4:$N$4)</f>
        <v>0</v>
      </c>
    </row>
    <row r="14" customFormat="false" ht="15" hidden="false" customHeight="false" outlineLevel="0" collapsed="false">
      <c r="A14" s="13" t="n">
        <f aca="false">Members!A14</f>
        <v>9</v>
      </c>
      <c r="B14" s="17" t="str">
        <f aca="false">IF(Members!B14="","",Members!B14)</f>
        <v/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8" t="n">
        <f aca="false">SUM(C14:N14)</f>
        <v>0</v>
      </c>
      <c r="P14" s="19" t="n">
        <f aca="false">SUMPRODUCT(C14:N14,13-$C$4:$N$4)</f>
        <v>0</v>
      </c>
    </row>
    <row r="15" customFormat="false" ht="15" hidden="false" customHeight="false" outlineLevel="0" collapsed="false">
      <c r="A15" s="13" t="n">
        <f aca="false">Members!A15</f>
        <v>10</v>
      </c>
      <c r="B15" s="17" t="str">
        <f aca="false">IF(Members!B15="","",Members!B15)</f>
        <v/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8" t="n">
        <f aca="false">SUM(C15:N15)</f>
        <v>0</v>
      </c>
      <c r="P15" s="19" t="n">
        <f aca="false">SUMPRODUCT(C15:N15,13-$C$4:$N$4)</f>
        <v>0</v>
      </c>
    </row>
    <row r="16" customFormat="false" ht="15" hidden="false" customHeight="false" outlineLevel="0" collapsed="false">
      <c r="A16" s="13" t="n">
        <f aca="false">Members!A16</f>
        <v>11</v>
      </c>
      <c r="B16" s="17" t="str">
        <f aca="false">IF(Members!B16="","",Members!B16)</f>
        <v/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8" t="n">
        <f aca="false">SUM(C16:N16)</f>
        <v>0</v>
      </c>
      <c r="P16" s="19" t="n">
        <f aca="false">SUMPRODUCT(C16:N16,13-$C$4:$N$4)</f>
        <v>0</v>
      </c>
    </row>
    <row r="17" customFormat="false" ht="15" hidden="false" customHeight="false" outlineLevel="0" collapsed="false">
      <c r="A17" s="13" t="n">
        <f aca="false">Members!A17</f>
        <v>12</v>
      </c>
      <c r="B17" s="17" t="str">
        <f aca="false">IF(Members!B17="","",Members!B17)</f>
        <v/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8" t="n">
        <f aca="false">SUM(C17:N17)</f>
        <v>0</v>
      </c>
      <c r="P17" s="19" t="n">
        <f aca="false">SUMPRODUCT(C17:N17,13-$C$4:$N$4)</f>
        <v>0</v>
      </c>
    </row>
    <row r="18" customFormat="false" ht="15" hidden="false" customHeight="false" outlineLevel="0" collapsed="false">
      <c r="A18" s="13" t="n">
        <f aca="false">Members!A18</f>
        <v>13</v>
      </c>
      <c r="B18" s="17" t="str">
        <f aca="false">IF(Members!B18="","",Members!B18)</f>
        <v/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8" t="n">
        <f aca="false">SUM(C18:N18)</f>
        <v>0</v>
      </c>
      <c r="P18" s="19" t="n">
        <f aca="false">SUMPRODUCT(C18:N18,13-$C$4:$N$4)</f>
        <v>0</v>
      </c>
    </row>
    <row r="19" customFormat="false" ht="15" hidden="false" customHeight="false" outlineLevel="0" collapsed="false">
      <c r="A19" s="13" t="n">
        <f aca="false">Members!A19</f>
        <v>14</v>
      </c>
      <c r="B19" s="17" t="str">
        <f aca="false">IF(Members!B19="","",Members!B19)</f>
        <v/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8" t="n">
        <f aca="false">SUM(C19:N19)</f>
        <v>0</v>
      </c>
      <c r="P19" s="19" t="n">
        <f aca="false">SUMPRODUCT(C19:N19,13-$C$4:$N$4)</f>
        <v>0</v>
      </c>
    </row>
    <row r="20" customFormat="false" ht="15" hidden="false" customHeight="false" outlineLevel="0" collapsed="false">
      <c r="A20" s="13" t="n">
        <f aca="false">Members!A20</f>
        <v>15</v>
      </c>
      <c r="B20" s="17" t="str">
        <f aca="false">IF(Members!B20="","",Members!B20)</f>
        <v/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8" t="n">
        <f aca="false">SUM(C20:N20)</f>
        <v>0</v>
      </c>
      <c r="P20" s="19" t="n">
        <f aca="false">SUMPRODUCT(C20:N20,13-$C$4:$N$4)</f>
        <v>0</v>
      </c>
    </row>
    <row r="21" customFormat="false" ht="15" hidden="false" customHeight="false" outlineLevel="0" collapsed="false">
      <c r="A21" s="13" t="n">
        <f aca="false">Members!A21</f>
        <v>16</v>
      </c>
      <c r="B21" s="17" t="str">
        <f aca="false">IF(Members!B21="","",Members!B21)</f>
        <v/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8" t="n">
        <f aca="false">SUM(C21:N21)</f>
        <v>0</v>
      </c>
      <c r="P21" s="19" t="n">
        <f aca="false">SUMPRODUCT(C21:N21,13-$C$4:$N$4)</f>
        <v>0</v>
      </c>
    </row>
    <row r="22" customFormat="false" ht="15" hidden="false" customHeight="false" outlineLevel="0" collapsed="false">
      <c r="A22" s="13" t="n">
        <f aca="false">Members!A22</f>
        <v>17</v>
      </c>
      <c r="B22" s="17" t="str">
        <f aca="false">IF(Members!B22="","",Members!B22)</f>
        <v/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8" t="n">
        <f aca="false">SUM(C22:N22)</f>
        <v>0</v>
      </c>
      <c r="P22" s="19" t="n">
        <f aca="false">SUMPRODUCT(C22:N22,13-$C$4:$N$4)</f>
        <v>0</v>
      </c>
    </row>
    <row r="23" customFormat="false" ht="15" hidden="false" customHeight="false" outlineLevel="0" collapsed="false">
      <c r="A23" s="13" t="n">
        <f aca="false">Members!A23</f>
        <v>18</v>
      </c>
      <c r="B23" s="17" t="str">
        <f aca="false">IF(Members!B23="","",Members!B23)</f>
        <v/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8" t="n">
        <f aca="false">SUM(C23:N23)</f>
        <v>0</v>
      </c>
      <c r="P23" s="19" t="n">
        <f aca="false">SUMPRODUCT(C23:N23,13-$C$4:$N$4)</f>
        <v>0</v>
      </c>
    </row>
    <row r="24" customFormat="false" ht="15" hidden="false" customHeight="false" outlineLevel="0" collapsed="false">
      <c r="A24" s="13" t="n">
        <f aca="false">Members!A24</f>
        <v>19</v>
      </c>
      <c r="B24" s="17" t="str">
        <f aca="false">IF(Members!B24="","",Members!B24)</f>
        <v/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8" t="n">
        <f aca="false">SUM(C24:N24)</f>
        <v>0</v>
      </c>
      <c r="P24" s="19" t="n">
        <f aca="false">SUMPRODUCT(C24:N24,13-$C$4:$N$4)</f>
        <v>0</v>
      </c>
    </row>
    <row r="25" customFormat="false" ht="15" hidden="false" customHeight="false" outlineLevel="0" collapsed="false">
      <c r="A25" s="13" t="n">
        <f aca="false">Members!A25</f>
        <v>20</v>
      </c>
      <c r="B25" s="17" t="str">
        <f aca="false">IF(Members!B25="","",Members!B25)</f>
        <v/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8" t="n">
        <f aca="false">SUM(C25:N25)</f>
        <v>0</v>
      </c>
      <c r="P25" s="19" t="n">
        <f aca="false">SUMPRODUCT(C25:N25,13-$C$4:$N$4)</f>
        <v>0</v>
      </c>
    </row>
    <row r="26" customFormat="false" ht="15" hidden="false" customHeight="false" outlineLevel="0" collapsed="false">
      <c r="A26" s="13" t="n">
        <f aca="false">Members!A26</f>
        <v>21</v>
      </c>
      <c r="B26" s="17" t="str">
        <f aca="false">IF(Members!B26="","",Members!B26)</f>
        <v/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8" t="n">
        <f aca="false">SUM(C26:N26)</f>
        <v>0</v>
      </c>
      <c r="P26" s="19" t="n">
        <f aca="false">SUMPRODUCT(C26:N26,13-$C$4:$N$4)</f>
        <v>0</v>
      </c>
    </row>
    <row r="27" customFormat="false" ht="15" hidden="false" customHeight="false" outlineLevel="0" collapsed="false">
      <c r="A27" s="13" t="n">
        <f aca="false">Members!A27</f>
        <v>22</v>
      </c>
      <c r="B27" s="17" t="str">
        <f aca="false">IF(Members!B27="","",Members!B27)</f>
        <v/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8" t="n">
        <f aca="false">SUM(C27:N27)</f>
        <v>0</v>
      </c>
      <c r="P27" s="19" t="n">
        <f aca="false">SUMPRODUCT(C27:N27,13-$C$4:$N$4)</f>
        <v>0</v>
      </c>
    </row>
    <row r="28" customFormat="false" ht="15" hidden="false" customHeight="false" outlineLevel="0" collapsed="false">
      <c r="A28" s="13" t="n">
        <f aca="false">Members!A28</f>
        <v>23</v>
      </c>
      <c r="B28" s="17" t="str">
        <f aca="false">IF(Members!B28="","",Members!B28)</f>
        <v/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8" t="n">
        <f aca="false">SUM(C28:N28)</f>
        <v>0</v>
      </c>
      <c r="P28" s="19" t="n">
        <f aca="false">SUMPRODUCT(C28:N28,13-$C$4:$N$4)</f>
        <v>0</v>
      </c>
    </row>
    <row r="29" customFormat="false" ht="15" hidden="false" customHeight="false" outlineLevel="0" collapsed="false">
      <c r="A29" s="13" t="n">
        <f aca="false">Members!A29</f>
        <v>24</v>
      </c>
      <c r="B29" s="17" t="str">
        <f aca="false">IF(Members!B29="","",Members!B29)</f>
        <v/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8" t="n">
        <f aca="false">SUM(C29:N29)</f>
        <v>0</v>
      </c>
      <c r="P29" s="19" t="n">
        <f aca="false">SUMPRODUCT(C29:N29,13-$C$4:$N$4)</f>
        <v>0</v>
      </c>
    </row>
    <row r="30" customFormat="false" ht="15" hidden="false" customHeight="false" outlineLevel="0" collapsed="false">
      <c r="A30" s="13" t="n">
        <f aca="false">Members!A30</f>
        <v>25</v>
      </c>
      <c r="B30" s="17" t="str">
        <f aca="false">IF(Members!B30="","",Members!B30)</f>
        <v/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8" t="n">
        <f aca="false">SUM(C30:N30)</f>
        <v>0</v>
      </c>
      <c r="P30" s="19" t="n">
        <f aca="false">SUMPRODUCT(C30:N30,13-$C$4:$N$4)</f>
        <v>0</v>
      </c>
    </row>
    <row r="31" customFormat="false" ht="15" hidden="false" customHeight="false" outlineLevel="0" collapsed="false">
      <c r="A31" s="13" t="n">
        <f aca="false">Members!A31</f>
        <v>26</v>
      </c>
      <c r="B31" s="17" t="str">
        <f aca="false">IF(Members!B31="","",Members!B31)</f>
        <v/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8" t="n">
        <f aca="false">SUM(C31:N31)</f>
        <v>0</v>
      </c>
      <c r="P31" s="19" t="n">
        <f aca="false">SUMPRODUCT(C31:N31,13-$C$4:$N$4)</f>
        <v>0</v>
      </c>
    </row>
    <row r="32" customFormat="false" ht="15" hidden="false" customHeight="false" outlineLevel="0" collapsed="false">
      <c r="A32" s="13" t="n">
        <f aca="false">Members!A32</f>
        <v>27</v>
      </c>
      <c r="B32" s="17" t="str">
        <f aca="false">IF(Members!B32="","",Members!B32)</f>
        <v/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8" t="n">
        <f aca="false">SUM(C32:N32)</f>
        <v>0</v>
      </c>
      <c r="P32" s="19" t="n">
        <f aca="false">SUMPRODUCT(C32:N32,13-$C$4:$N$4)</f>
        <v>0</v>
      </c>
    </row>
    <row r="33" customFormat="false" ht="15" hidden="false" customHeight="false" outlineLevel="0" collapsed="false">
      <c r="A33" s="13" t="n">
        <f aca="false">Members!A33</f>
        <v>28</v>
      </c>
      <c r="B33" s="17" t="str">
        <f aca="false">IF(Members!B33="","",Members!B33)</f>
        <v/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8" t="n">
        <f aca="false">SUM(C33:N33)</f>
        <v>0</v>
      </c>
      <c r="P33" s="19" t="n">
        <f aca="false">SUMPRODUCT(C33:N33,13-$C$4:$N$4)</f>
        <v>0</v>
      </c>
    </row>
    <row r="34" customFormat="false" ht="15" hidden="false" customHeight="false" outlineLevel="0" collapsed="false">
      <c r="A34" s="13" t="n">
        <f aca="false">Members!A34</f>
        <v>29</v>
      </c>
      <c r="B34" s="17" t="str">
        <f aca="false">IF(Members!B34="","",Members!B34)</f>
        <v/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" t="n">
        <f aca="false">SUM(C34:N34)</f>
        <v>0</v>
      </c>
      <c r="P34" s="19" t="n">
        <f aca="false">SUMPRODUCT(C34:N34,13-$C$4:$N$4)</f>
        <v>0</v>
      </c>
    </row>
    <row r="35" customFormat="false" ht="15" hidden="false" customHeight="false" outlineLevel="0" collapsed="false">
      <c r="A35" s="13" t="n">
        <f aca="false">Members!A35</f>
        <v>30</v>
      </c>
      <c r="B35" s="17" t="str">
        <f aca="false">IF(Members!B35="","",Members!B35)</f>
        <v/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" t="n">
        <f aca="false">SUM(C35:N35)</f>
        <v>0</v>
      </c>
      <c r="P35" s="19" t="n">
        <f aca="false">SUMPRODUCT(C35:N35,13-$C$4:$N$4)</f>
        <v>0</v>
      </c>
    </row>
    <row r="36" customFormat="false" ht="15" hidden="false" customHeight="false" outlineLevel="0" collapsed="false">
      <c r="A36" s="13" t="n">
        <f aca="false">Members!A36</f>
        <v>31</v>
      </c>
      <c r="B36" s="17" t="str">
        <f aca="false">IF(Members!B36="","",Members!B36)</f>
        <v/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" t="n">
        <f aca="false">SUM(C36:N36)</f>
        <v>0</v>
      </c>
      <c r="P36" s="19" t="n">
        <f aca="false">SUMPRODUCT(C36:N36,13-$C$4:$N$4)</f>
        <v>0</v>
      </c>
    </row>
    <row r="37" customFormat="false" ht="15" hidden="false" customHeight="false" outlineLevel="0" collapsed="false">
      <c r="A37" s="13" t="n">
        <f aca="false">Members!A37</f>
        <v>32</v>
      </c>
      <c r="B37" s="17" t="str">
        <f aca="false">IF(Members!B37="","",Members!B37)</f>
        <v/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" t="n">
        <f aca="false">SUM(C37:N37)</f>
        <v>0</v>
      </c>
      <c r="P37" s="19" t="n">
        <f aca="false">SUMPRODUCT(C37:N37,13-$C$4:$N$4)</f>
        <v>0</v>
      </c>
    </row>
    <row r="38" customFormat="false" ht="15" hidden="false" customHeight="false" outlineLevel="0" collapsed="false">
      <c r="A38" s="13" t="n">
        <f aca="false">Members!A38</f>
        <v>33</v>
      </c>
      <c r="B38" s="17" t="str">
        <f aca="false">IF(Members!B38="","",Members!B38)</f>
        <v/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 t="n">
        <f aca="false">SUM(C38:N38)</f>
        <v>0</v>
      </c>
      <c r="P38" s="19" t="n">
        <f aca="false">SUMPRODUCT(C38:N38,13-$C$4:$N$4)</f>
        <v>0</v>
      </c>
    </row>
    <row r="39" customFormat="false" ht="15" hidden="false" customHeight="false" outlineLevel="0" collapsed="false">
      <c r="A39" s="13" t="n">
        <f aca="false">Members!A39</f>
        <v>34</v>
      </c>
      <c r="B39" s="17" t="str">
        <f aca="false">IF(Members!B39="","",Members!B39)</f>
        <v/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 t="n">
        <f aca="false">SUM(C39:N39)</f>
        <v>0</v>
      </c>
      <c r="P39" s="19" t="n">
        <f aca="false">SUMPRODUCT(C39:N39,13-$C$4:$N$4)</f>
        <v>0</v>
      </c>
    </row>
    <row r="40" customFormat="false" ht="15" hidden="false" customHeight="false" outlineLevel="0" collapsed="false">
      <c r="A40" s="13" t="n">
        <f aca="false">Members!A40</f>
        <v>35</v>
      </c>
      <c r="B40" s="17" t="str">
        <f aca="false">IF(Members!B40="","",Members!B40)</f>
        <v/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 t="n">
        <f aca="false">SUM(C40:N40)</f>
        <v>0</v>
      </c>
      <c r="P40" s="19" t="n">
        <f aca="false">SUMPRODUCT(C40:N40,13-$C$4:$N$4)</f>
        <v>0</v>
      </c>
    </row>
    <row r="41" customFormat="false" ht="15" hidden="false" customHeight="false" outlineLevel="0" collapsed="false">
      <c r="A41" s="13" t="n">
        <f aca="false">Members!A41</f>
        <v>36</v>
      </c>
      <c r="B41" s="17" t="str">
        <f aca="false">IF(Members!B41="","",Members!B41)</f>
        <v/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8" t="n">
        <f aca="false">SUM(C41:N41)</f>
        <v>0</v>
      </c>
      <c r="P41" s="19" t="n">
        <f aca="false">SUMPRODUCT(C41:N41,13-$C$4:$N$4)</f>
        <v>0</v>
      </c>
    </row>
    <row r="42" customFormat="false" ht="15" hidden="false" customHeight="false" outlineLevel="0" collapsed="false">
      <c r="A42" s="13" t="n">
        <f aca="false">Members!A42</f>
        <v>37</v>
      </c>
      <c r="B42" s="17" t="str">
        <f aca="false">IF(Members!B42="","",Members!B42)</f>
        <v/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8" t="n">
        <f aca="false">SUM(C42:N42)</f>
        <v>0</v>
      </c>
      <c r="P42" s="19" t="n">
        <f aca="false">SUMPRODUCT(C42:N42,13-$C$4:$N$4)</f>
        <v>0</v>
      </c>
    </row>
    <row r="43" customFormat="false" ht="15" hidden="false" customHeight="false" outlineLevel="0" collapsed="false">
      <c r="A43" s="13" t="n">
        <f aca="false">Members!A43</f>
        <v>38</v>
      </c>
      <c r="B43" s="17" t="str">
        <f aca="false">IF(Members!B43="","",Members!B43)</f>
        <v/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8" t="n">
        <f aca="false">SUM(C43:N43)</f>
        <v>0</v>
      </c>
      <c r="P43" s="19" t="n">
        <f aca="false">SUMPRODUCT(C43:N43,13-$C$4:$N$4)</f>
        <v>0</v>
      </c>
    </row>
    <row r="44" customFormat="false" ht="15" hidden="false" customHeight="false" outlineLevel="0" collapsed="false">
      <c r="A44" s="13" t="n">
        <f aca="false">Members!A44</f>
        <v>39</v>
      </c>
      <c r="B44" s="17" t="str">
        <f aca="false">IF(Members!B44="","",Members!B44)</f>
        <v/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8" t="n">
        <f aca="false">SUM(C44:N44)</f>
        <v>0</v>
      </c>
      <c r="P44" s="19" t="n">
        <f aca="false">SUMPRODUCT(C44:N44,13-$C$4:$N$4)</f>
        <v>0</v>
      </c>
    </row>
    <row r="45" customFormat="false" ht="15" hidden="false" customHeight="false" outlineLevel="0" collapsed="false">
      <c r="A45" s="13" t="n">
        <f aca="false">Members!A45</f>
        <v>40</v>
      </c>
      <c r="B45" s="17" t="str">
        <f aca="false">IF(Members!B45="","",Members!B45)</f>
        <v/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8" t="n">
        <f aca="false">SUM(C45:N45)</f>
        <v>0</v>
      </c>
      <c r="P45" s="19" t="n">
        <f aca="false">SUMPRODUCT(C45:N45,13-$C$4:$N$4)</f>
        <v>0</v>
      </c>
    </row>
    <row r="46" customFormat="false" ht="15" hidden="false" customHeight="false" outlineLevel="0" collapsed="false">
      <c r="B46" s="4" t="s">
        <v>51</v>
      </c>
      <c r="C46" s="20" t="n">
        <f aca="false">SUM(C6:C45)</f>
        <v>10</v>
      </c>
      <c r="D46" s="20" t="n">
        <f aca="false">SUM(D6:D45)</f>
        <v>10</v>
      </c>
      <c r="E46" s="20" t="n">
        <f aca="false">SUM(E6:E45)</f>
        <v>10</v>
      </c>
      <c r="F46" s="20" t="n">
        <f aca="false">SUM(F6:F45)</f>
        <v>0</v>
      </c>
      <c r="G46" s="20" t="n">
        <f aca="false">SUM(G6:G45)</f>
        <v>0</v>
      </c>
      <c r="H46" s="20" t="n">
        <f aca="false">SUM(H6:H45)</f>
        <v>0</v>
      </c>
      <c r="I46" s="20" t="n">
        <f aca="false">SUM(I6:I45)</f>
        <v>0</v>
      </c>
      <c r="J46" s="20" t="n">
        <f aca="false">SUM(J6:J45)</f>
        <v>0</v>
      </c>
      <c r="K46" s="20" t="n">
        <f aca="false">SUM(K6:K45)</f>
        <v>0</v>
      </c>
      <c r="L46" s="20" t="n">
        <f aca="false">SUM(L6:L45)</f>
        <v>0</v>
      </c>
      <c r="M46" s="20" t="n">
        <f aca="false">SUM(M6:M45)</f>
        <v>0</v>
      </c>
      <c r="N46" s="20" t="n">
        <f aca="false">SUM(N6:N45)</f>
        <v>0</v>
      </c>
      <c r="O46" s="20" t="n">
        <f aca="false">SUM(O6:O45)</f>
        <v>30</v>
      </c>
      <c r="P46" s="20" t="n">
        <f aca="false">SUM(P6:P45)</f>
        <v>330</v>
      </c>
    </row>
    <row r="47" customFormat="false" ht="15" hidden="false" customHeight="false" outlineLevel="0" collapsed="false">
      <c r="B47" s="21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6" min="4" style="0" width="14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11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5" customFormat="false" ht="31.5" hidden="false" customHeight="true" outlineLevel="0" collapsed="false">
      <c r="A5" s="12" t="s">
        <v>55</v>
      </c>
      <c r="B5" s="12" t="s">
        <v>56</v>
      </c>
      <c r="C5" s="12" t="s">
        <v>57</v>
      </c>
      <c r="D5" s="12" t="s">
        <v>58</v>
      </c>
      <c r="E5" s="12" t="s">
        <v>59</v>
      </c>
      <c r="F5" s="12" t="s">
        <v>60</v>
      </c>
      <c r="G5" s="12" t="s">
        <v>61</v>
      </c>
      <c r="H5" s="12" t="s">
        <v>62</v>
      </c>
      <c r="I5" s="12" t="s">
        <v>63</v>
      </c>
      <c r="J5" s="12" t="s">
        <v>64</v>
      </c>
    </row>
    <row r="6" customFormat="false" ht="15" hidden="false" customHeight="false" outlineLevel="0" collapsed="false">
      <c r="A6" s="22" t="s">
        <v>65</v>
      </c>
      <c r="B6" s="5" t="n">
        <v>1</v>
      </c>
      <c r="C6" s="17" t="str">
        <f aca="false">IF(B6="","",IFERROR(INDEX(Members!$B$6:$B$45,MATCH(B6,Members!$A$6:$A$45,0)),"not found"))</f>
        <v>Example Member</v>
      </c>
      <c r="D6" s="14" t="n">
        <v>46037</v>
      </c>
      <c r="E6" s="9" t="n">
        <v>100</v>
      </c>
      <c r="F6" s="19" t="n">
        <f aca="false">IF(E6="","",SUMIFS(Repayments!$K$6:$K$205,Repayments!$B$6:$B$205,A6))</f>
        <v>24.83</v>
      </c>
      <c r="G6" s="19" t="n">
        <f aca="false">IF(E6="","",SUMIFS(Repayments!$J$6:$J$205,Repayments!$B$6:$B$205,A6))</f>
        <v>5.17</v>
      </c>
      <c r="H6" s="18" t="n">
        <f aca="false">IF(E6="","",E6-F6)</f>
        <v>75.17</v>
      </c>
      <c r="I6" s="19" t="n">
        <f aca="false">IF(E6="","",SUMIFS(Repayments!$H$6:$H$205,Repayments!$B$6:$B$205,A6)-G6)</f>
        <v>0</v>
      </c>
      <c r="J6" s="13" t="str">
        <f aca="false">IF(E6="","",IF(H6&lt;=0.005,"Cleared","Open"))</f>
        <v>Open</v>
      </c>
      <c r="L6" s="23" t="s">
        <v>33</v>
      </c>
    </row>
    <row r="7" customFormat="false" ht="15" hidden="false" customHeight="false" outlineLevel="0" collapsed="false">
      <c r="A7" s="22" t="s">
        <v>66</v>
      </c>
      <c r="B7" s="5"/>
      <c r="C7" s="17" t="str">
        <f aca="false">IF(B7="","",IFERROR(INDEX(Members!$B$6:$B$45,MATCH(B7,Members!$A$6:$A$45,0)),"not found"))</f>
        <v/>
      </c>
      <c r="D7" s="14"/>
      <c r="E7" s="9"/>
      <c r="F7" s="19" t="str">
        <f aca="false">IF(E7="","",SUMIFS(Repayments!$K$6:$K$205,Repayments!$B$6:$B$205,A7))</f>
        <v/>
      </c>
      <c r="G7" s="19" t="str">
        <f aca="false">IF(E7="","",SUMIFS(Repayments!$J$6:$J$205,Repayments!$B$6:$B$205,A7))</f>
        <v/>
      </c>
      <c r="H7" s="18" t="str">
        <f aca="false">IF(E7="","",E7-F7)</f>
        <v/>
      </c>
      <c r="I7" s="19" t="str">
        <f aca="false">IF(E7="","",SUMIFS(Repayments!$H$6:$H$205,Repayments!$B$6:$B$205,A7)-G7)</f>
        <v/>
      </c>
      <c r="J7" s="13" t="str">
        <f aca="false">IF(E7="","",IF(H7&lt;=0.005,"Cleared","Open"))</f>
        <v/>
      </c>
    </row>
    <row r="8" customFormat="false" ht="15" hidden="false" customHeight="false" outlineLevel="0" collapsed="false">
      <c r="A8" s="22" t="s">
        <v>67</v>
      </c>
      <c r="B8" s="5"/>
      <c r="C8" s="17" t="str">
        <f aca="false">IF(B8="","",IFERROR(INDEX(Members!$B$6:$B$45,MATCH(B8,Members!$A$6:$A$45,0)),"not found"))</f>
        <v/>
      </c>
      <c r="D8" s="14"/>
      <c r="E8" s="9"/>
      <c r="F8" s="19" t="str">
        <f aca="false">IF(E8="","",SUMIFS(Repayments!$K$6:$K$205,Repayments!$B$6:$B$205,A8))</f>
        <v/>
      </c>
      <c r="G8" s="19" t="str">
        <f aca="false">IF(E8="","",SUMIFS(Repayments!$J$6:$J$205,Repayments!$B$6:$B$205,A8))</f>
        <v/>
      </c>
      <c r="H8" s="18" t="str">
        <f aca="false">IF(E8="","",E8-F8)</f>
        <v/>
      </c>
      <c r="I8" s="19" t="str">
        <f aca="false">IF(E8="","",SUMIFS(Repayments!$H$6:$H$205,Repayments!$B$6:$B$205,A8)-G8)</f>
        <v/>
      </c>
      <c r="J8" s="13" t="str">
        <f aca="false">IF(E8="","",IF(H8&lt;=0.005,"Cleared","Open"))</f>
        <v/>
      </c>
    </row>
    <row r="9" customFormat="false" ht="15" hidden="false" customHeight="false" outlineLevel="0" collapsed="false">
      <c r="A9" s="22" t="s">
        <v>68</v>
      </c>
      <c r="B9" s="5"/>
      <c r="C9" s="17" t="str">
        <f aca="false">IF(B9="","",IFERROR(INDEX(Members!$B$6:$B$45,MATCH(B9,Members!$A$6:$A$45,0)),"not found"))</f>
        <v/>
      </c>
      <c r="D9" s="14"/>
      <c r="E9" s="9"/>
      <c r="F9" s="19" t="str">
        <f aca="false">IF(E9="","",SUMIFS(Repayments!$K$6:$K$205,Repayments!$B$6:$B$205,A9))</f>
        <v/>
      </c>
      <c r="G9" s="19" t="str">
        <f aca="false">IF(E9="","",SUMIFS(Repayments!$J$6:$J$205,Repayments!$B$6:$B$205,A9))</f>
        <v/>
      </c>
      <c r="H9" s="18" t="str">
        <f aca="false">IF(E9="","",E9-F9)</f>
        <v/>
      </c>
      <c r="I9" s="19" t="str">
        <f aca="false">IF(E9="","",SUMIFS(Repayments!$H$6:$H$205,Repayments!$B$6:$B$205,A9)-G9)</f>
        <v/>
      </c>
      <c r="J9" s="13" t="str">
        <f aca="false">IF(E9="","",IF(H9&lt;=0.005,"Cleared","Open"))</f>
        <v/>
      </c>
    </row>
    <row r="10" customFormat="false" ht="15" hidden="false" customHeight="false" outlineLevel="0" collapsed="false">
      <c r="A10" s="22" t="s">
        <v>69</v>
      </c>
      <c r="B10" s="5"/>
      <c r="C10" s="17" t="str">
        <f aca="false">IF(B10="","",IFERROR(INDEX(Members!$B$6:$B$45,MATCH(B10,Members!$A$6:$A$45,0)),"not found"))</f>
        <v/>
      </c>
      <c r="D10" s="14"/>
      <c r="E10" s="9"/>
      <c r="F10" s="19" t="str">
        <f aca="false">IF(E10="","",SUMIFS(Repayments!$K$6:$K$205,Repayments!$B$6:$B$205,A10))</f>
        <v/>
      </c>
      <c r="G10" s="19" t="str">
        <f aca="false">IF(E10="","",SUMIFS(Repayments!$J$6:$J$205,Repayments!$B$6:$B$205,A10))</f>
        <v/>
      </c>
      <c r="H10" s="18" t="str">
        <f aca="false">IF(E10="","",E10-F10)</f>
        <v/>
      </c>
      <c r="I10" s="19" t="str">
        <f aca="false">IF(E10="","",SUMIFS(Repayments!$H$6:$H$205,Repayments!$B$6:$B$205,A10)-G10)</f>
        <v/>
      </c>
      <c r="J10" s="13" t="str">
        <f aca="false">IF(E10="","",IF(H10&lt;=0.005,"Cleared","Open"))</f>
        <v/>
      </c>
    </row>
    <row r="11" customFormat="false" ht="15" hidden="false" customHeight="false" outlineLevel="0" collapsed="false">
      <c r="A11" s="22" t="s">
        <v>70</v>
      </c>
      <c r="B11" s="5"/>
      <c r="C11" s="17" t="str">
        <f aca="false">IF(B11="","",IFERROR(INDEX(Members!$B$6:$B$45,MATCH(B11,Members!$A$6:$A$45,0)),"not found"))</f>
        <v/>
      </c>
      <c r="D11" s="14"/>
      <c r="E11" s="9"/>
      <c r="F11" s="19" t="str">
        <f aca="false">IF(E11="","",SUMIFS(Repayments!$K$6:$K$205,Repayments!$B$6:$B$205,A11))</f>
        <v/>
      </c>
      <c r="G11" s="19" t="str">
        <f aca="false">IF(E11="","",SUMIFS(Repayments!$J$6:$J$205,Repayments!$B$6:$B$205,A11))</f>
        <v/>
      </c>
      <c r="H11" s="18" t="str">
        <f aca="false">IF(E11="","",E11-F11)</f>
        <v/>
      </c>
      <c r="I11" s="19" t="str">
        <f aca="false">IF(E11="","",SUMIFS(Repayments!$H$6:$H$205,Repayments!$B$6:$B$205,A11)-G11)</f>
        <v/>
      </c>
      <c r="J11" s="13" t="str">
        <f aca="false">IF(E11="","",IF(H11&lt;=0.005,"Cleared","Open"))</f>
        <v/>
      </c>
    </row>
    <row r="12" customFormat="false" ht="15" hidden="false" customHeight="false" outlineLevel="0" collapsed="false">
      <c r="A12" s="22" t="s">
        <v>71</v>
      </c>
      <c r="B12" s="5"/>
      <c r="C12" s="17" t="str">
        <f aca="false">IF(B12="","",IFERROR(INDEX(Members!$B$6:$B$45,MATCH(B12,Members!$A$6:$A$45,0)),"not found"))</f>
        <v/>
      </c>
      <c r="D12" s="14"/>
      <c r="E12" s="9"/>
      <c r="F12" s="19" t="str">
        <f aca="false">IF(E12="","",SUMIFS(Repayments!$K$6:$K$205,Repayments!$B$6:$B$205,A12))</f>
        <v/>
      </c>
      <c r="G12" s="19" t="str">
        <f aca="false">IF(E12="","",SUMIFS(Repayments!$J$6:$J$205,Repayments!$B$6:$B$205,A12))</f>
        <v/>
      </c>
      <c r="H12" s="18" t="str">
        <f aca="false">IF(E12="","",E12-F12)</f>
        <v/>
      </c>
      <c r="I12" s="19" t="str">
        <f aca="false">IF(E12="","",SUMIFS(Repayments!$H$6:$H$205,Repayments!$B$6:$B$205,A12)-G12)</f>
        <v/>
      </c>
      <c r="J12" s="13" t="str">
        <f aca="false">IF(E12="","",IF(H12&lt;=0.005,"Cleared","Open"))</f>
        <v/>
      </c>
    </row>
    <row r="13" customFormat="false" ht="15" hidden="false" customHeight="false" outlineLevel="0" collapsed="false">
      <c r="A13" s="22" t="s">
        <v>72</v>
      </c>
      <c r="B13" s="5"/>
      <c r="C13" s="17" t="str">
        <f aca="false">IF(B13="","",IFERROR(INDEX(Members!$B$6:$B$45,MATCH(B13,Members!$A$6:$A$45,0)),"not found"))</f>
        <v/>
      </c>
      <c r="D13" s="14"/>
      <c r="E13" s="9"/>
      <c r="F13" s="19" t="str">
        <f aca="false">IF(E13="","",SUMIFS(Repayments!$K$6:$K$205,Repayments!$B$6:$B$205,A13))</f>
        <v/>
      </c>
      <c r="G13" s="19" t="str">
        <f aca="false">IF(E13="","",SUMIFS(Repayments!$J$6:$J$205,Repayments!$B$6:$B$205,A13))</f>
        <v/>
      </c>
      <c r="H13" s="18" t="str">
        <f aca="false">IF(E13="","",E13-F13)</f>
        <v/>
      </c>
      <c r="I13" s="19" t="str">
        <f aca="false">IF(E13="","",SUMIFS(Repayments!$H$6:$H$205,Repayments!$B$6:$B$205,A13)-G13)</f>
        <v/>
      </c>
      <c r="J13" s="13" t="str">
        <f aca="false">IF(E13="","",IF(H13&lt;=0.005,"Cleared","Open"))</f>
        <v/>
      </c>
    </row>
    <row r="14" customFormat="false" ht="15" hidden="false" customHeight="false" outlineLevel="0" collapsed="false">
      <c r="A14" s="22" t="s">
        <v>73</v>
      </c>
      <c r="B14" s="5"/>
      <c r="C14" s="17" t="str">
        <f aca="false">IF(B14="","",IFERROR(INDEX(Members!$B$6:$B$45,MATCH(B14,Members!$A$6:$A$45,0)),"not found"))</f>
        <v/>
      </c>
      <c r="D14" s="14"/>
      <c r="E14" s="9"/>
      <c r="F14" s="19" t="str">
        <f aca="false">IF(E14="","",SUMIFS(Repayments!$K$6:$K$205,Repayments!$B$6:$B$205,A14))</f>
        <v/>
      </c>
      <c r="G14" s="19" t="str">
        <f aca="false">IF(E14="","",SUMIFS(Repayments!$J$6:$J$205,Repayments!$B$6:$B$205,A14))</f>
        <v/>
      </c>
      <c r="H14" s="18" t="str">
        <f aca="false">IF(E14="","",E14-F14)</f>
        <v/>
      </c>
      <c r="I14" s="19" t="str">
        <f aca="false">IF(E14="","",SUMIFS(Repayments!$H$6:$H$205,Repayments!$B$6:$B$205,A14)-G14)</f>
        <v/>
      </c>
      <c r="J14" s="13" t="str">
        <f aca="false">IF(E14="","",IF(H14&lt;=0.005,"Cleared","Open"))</f>
        <v/>
      </c>
    </row>
    <row r="15" customFormat="false" ht="15" hidden="false" customHeight="false" outlineLevel="0" collapsed="false">
      <c r="A15" s="22" t="s">
        <v>74</v>
      </c>
      <c r="B15" s="5"/>
      <c r="C15" s="17" t="str">
        <f aca="false">IF(B15="","",IFERROR(INDEX(Members!$B$6:$B$45,MATCH(B15,Members!$A$6:$A$45,0)),"not found"))</f>
        <v/>
      </c>
      <c r="D15" s="14"/>
      <c r="E15" s="9"/>
      <c r="F15" s="19" t="str">
        <f aca="false">IF(E15="","",SUMIFS(Repayments!$K$6:$K$205,Repayments!$B$6:$B$205,A15))</f>
        <v/>
      </c>
      <c r="G15" s="19" t="str">
        <f aca="false">IF(E15="","",SUMIFS(Repayments!$J$6:$J$205,Repayments!$B$6:$B$205,A15))</f>
        <v/>
      </c>
      <c r="H15" s="18" t="str">
        <f aca="false">IF(E15="","",E15-F15)</f>
        <v/>
      </c>
      <c r="I15" s="19" t="str">
        <f aca="false">IF(E15="","",SUMIFS(Repayments!$H$6:$H$205,Repayments!$B$6:$B$205,A15)-G15)</f>
        <v/>
      </c>
      <c r="J15" s="13" t="str">
        <f aca="false">IF(E15="","",IF(H15&lt;=0.005,"Cleared","Open"))</f>
        <v/>
      </c>
    </row>
    <row r="16" customFormat="false" ht="15" hidden="false" customHeight="false" outlineLevel="0" collapsed="false">
      <c r="A16" s="22" t="s">
        <v>75</v>
      </c>
      <c r="B16" s="5"/>
      <c r="C16" s="17" t="str">
        <f aca="false">IF(B16="","",IFERROR(INDEX(Members!$B$6:$B$45,MATCH(B16,Members!$A$6:$A$45,0)),"not found"))</f>
        <v/>
      </c>
      <c r="D16" s="14"/>
      <c r="E16" s="9"/>
      <c r="F16" s="19" t="str">
        <f aca="false">IF(E16="","",SUMIFS(Repayments!$K$6:$K$205,Repayments!$B$6:$B$205,A16))</f>
        <v/>
      </c>
      <c r="G16" s="19" t="str">
        <f aca="false">IF(E16="","",SUMIFS(Repayments!$J$6:$J$205,Repayments!$B$6:$B$205,A16))</f>
        <v/>
      </c>
      <c r="H16" s="18" t="str">
        <f aca="false">IF(E16="","",E16-F16)</f>
        <v/>
      </c>
      <c r="I16" s="19" t="str">
        <f aca="false">IF(E16="","",SUMIFS(Repayments!$H$6:$H$205,Repayments!$B$6:$B$205,A16)-G16)</f>
        <v/>
      </c>
      <c r="J16" s="13" t="str">
        <f aca="false">IF(E16="","",IF(H16&lt;=0.005,"Cleared","Open"))</f>
        <v/>
      </c>
    </row>
    <row r="17" customFormat="false" ht="15" hidden="false" customHeight="false" outlineLevel="0" collapsed="false">
      <c r="A17" s="22" t="s">
        <v>76</v>
      </c>
      <c r="B17" s="5"/>
      <c r="C17" s="17" t="str">
        <f aca="false">IF(B17="","",IFERROR(INDEX(Members!$B$6:$B$45,MATCH(B17,Members!$A$6:$A$45,0)),"not found"))</f>
        <v/>
      </c>
      <c r="D17" s="14"/>
      <c r="E17" s="9"/>
      <c r="F17" s="19" t="str">
        <f aca="false">IF(E17="","",SUMIFS(Repayments!$K$6:$K$205,Repayments!$B$6:$B$205,A17))</f>
        <v/>
      </c>
      <c r="G17" s="19" t="str">
        <f aca="false">IF(E17="","",SUMIFS(Repayments!$J$6:$J$205,Repayments!$B$6:$B$205,A17))</f>
        <v/>
      </c>
      <c r="H17" s="18" t="str">
        <f aca="false">IF(E17="","",E17-F17)</f>
        <v/>
      </c>
      <c r="I17" s="19" t="str">
        <f aca="false">IF(E17="","",SUMIFS(Repayments!$H$6:$H$205,Repayments!$B$6:$B$205,A17)-G17)</f>
        <v/>
      </c>
      <c r="J17" s="13" t="str">
        <f aca="false">IF(E17="","",IF(H17&lt;=0.005,"Cleared","Open"))</f>
        <v/>
      </c>
    </row>
    <row r="18" customFormat="false" ht="15" hidden="false" customHeight="false" outlineLevel="0" collapsed="false">
      <c r="A18" s="22" t="s">
        <v>77</v>
      </c>
      <c r="B18" s="5"/>
      <c r="C18" s="17" t="str">
        <f aca="false">IF(B18="","",IFERROR(INDEX(Members!$B$6:$B$45,MATCH(B18,Members!$A$6:$A$45,0)),"not found"))</f>
        <v/>
      </c>
      <c r="D18" s="14"/>
      <c r="E18" s="9"/>
      <c r="F18" s="19" t="str">
        <f aca="false">IF(E18="","",SUMIFS(Repayments!$K$6:$K$205,Repayments!$B$6:$B$205,A18))</f>
        <v/>
      </c>
      <c r="G18" s="19" t="str">
        <f aca="false">IF(E18="","",SUMIFS(Repayments!$J$6:$J$205,Repayments!$B$6:$B$205,A18))</f>
        <v/>
      </c>
      <c r="H18" s="18" t="str">
        <f aca="false">IF(E18="","",E18-F18)</f>
        <v/>
      </c>
      <c r="I18" s="19" t="str">
        <f aca="false">IF(E18="","",SUMIFS(Repayments!$H$6:$H$205,Repayments!$B$6:$B$205,A18)-G18)</f>
        <v/>
      </c>
      <c r="J18" s="13" t="str">
        <f aca="false">IF(E18="","",IF(H18&lt;=0.005,"Cleared","Open"))</f>
        <v/>
      </c>
    </row>
    <row r="19" customFormat="false" ht="15" hidden="false" customHeight="false" outlineLevel="0" collapsed="false">
      <c r="A19" s="22" t="s">
        <v>78</v>
      </c>
      <c r="B19" s="5"/>
      <c r="C19" s="17" t="str">
        <f aca="false">IF(B19="","",IFERROR(INDEX(Members!$B$6:$B$45,MATCH(B19,Members!$A$6:$A$45,0)),"not found"))</f>
        <v/>
      </c>
      <c r="D19" s="14"/>
      <c r="E19" s="9"/>
      <c r="F19" s="19" t="str">
        <f aca="false">IF(E19="","",SUMIFS(Repayments!$K$6:$K$205,Repayments!$B$6:$B$205,A19))</f>
        <v/>
      </c>
      <c r="G19" s="19" t="str">
        <f aca="false">IF(E19="","",SUMIFS(Repayments!$J$6:$J$205,Repayments!$B$6:$B$205,A19))</f>
        <v/>
      </c>
      <c r="H19" s="18" t="str">
        <f aca="false">IF(E19="","",E19-F19)</f>
        <v/>
      </c>
      <c r="I19" s="19" t="str">
        <f aca="false">IF(E19="","",SUMIFS(Repayments!$H$6:$H$205,Repayments!$B$6:$B$205,A19)-G19)</f>
        <v/>
      </c>
      <c r="J19" s="13" t="str">
        <f aca="false">IF(E19="","",IF(H19&lt;=0.005,"Cleared","Open"))</f>
        <v/>
      </c>
    </row>
    <row r="20" customFormat="false" ht="15" hidden="false" customHeight="false" outlineLevel="0" collapsed="false">
      <c r="A20" s="22" t="s">
        <v>79</v>
      </c>
      <c r="B20" s="5"/>
      <c r="C20" s="17" t="str">
        <f aca="false">IF(B20="","",IFERROR(INDEX(Members!$B$6:$B$45,MATCH(B20,Members!$A$6:$A$45,0)),"not found"))</f>
        <v/>
      </c>
      <c r="D20" s="14"/>
      <c r="E20" s="9"/>
      <c r="F20" s="19" t="str">
        <f aca="false">IF(E20="","",SUMIFS(Repayments!$K$6:$K$205,Repayments!$B$6:$B$205,A20))</f>
        <v/>
      </c>
      <c r="G20" s="19" t="str">
        <f aca="false">IF(E20="","",SUMIFS(Repayments!$J$6:$J$205,Repayments!$B$6:$B$205,A20))</f>
        <v/>
      </c>
      <c r="H20" s="18" t="str">
        <f aca="false">IF(E20="","",E20-F20)</f>
        <v/>
      </c>
      <c r="I20" s="19" t="str">
        <f aca="false">IF(E20="","",SUMIFS(Repayments!$H$6:$H$205,Repayments!$B$6:$B$205,A20)-G20)</f>
        <v/>
      </c>
      <c r="J20" s="13" t="str">
        <f aca="false">IF(E20="","",IF(H20&lt;=0.005,"Cleared","Open"))</f>
        <v/>
      </c>
    </row>
    <row r="21" customFormat="false" ht="15" hidden="false" customHeight="false" outlineLevel="0" collapsed="false">
      <c r="A21" s="22" t="s">
        <v>80</v>
      </c>
      <c r="B21" s="5"/>
      <c r="C21" s="17" t="str">
        <f aca="false">IF(B21="","",IFERROR(INDEX(Members!$B$6:$B$45,MATCH(B21,Members!$A$6:$A$45,0)),"not found"))</f>
        <v/>
      </c>
      <c r="D21" s="14"/>
      <c r="E21" s="9"/>
      <c r="F21" s="19" t="str">
        <f aca="false">IF(E21="","",SUMIFS(Repayments!$K$6:$K$205,Repayments!$B$6:$B$205,A21))</f>
        <v/>
      </c>
      <c r="G21" s="19" t="str">
        <f aca="false">IF(E21="","",SUMIFS(Repayments!$J$6:$J$205,Repayments!$B$6:$B$205,A21))</f>
        <v/>
      </c>
      <c r="H21" s="18" t="str">
        <f aca="false">IF(E21="","",E21-F21)</f>
        <v/>
      </c>
      <c r="I21" s="19" t="str">
        <f aca="false">IF(E21="","",SUMIFS(Repayments!$H$6:$H$205,Repayments!$B$6:$B$205,A21)-G21)</f>
        <v/>
      </c>
      <c r="J21" s="13" t="str">
        <f aca="false">IF(E21="","",IF(H21&lt;=0.005,"Cleared","Open"))</f>
        <v/>
      </c>
    </row>
    <row r="22" customFormat="false" ht="15" hidden="false" customHeight="false" outlineLevel="0" collapsed="false">
      <c r="A22" s="22" t="s">
        <v>81</v>
      </c>
      <c r="B22" s="5"/>
      <c r="C22" s="17" t="str">
        <f aca="false">IF(B22="","",IFERROR(INDEX(Members!$B$6:$B$45,MATCH(B22,Members!$A$6:$A$45,0)),"not found"))</f>
        <v/>
      </c>
      <c r="D22" s="14"/>
      <c r="E22" s="9"/>
      <c r="F22" s="19" t="str">
        <f aca="false">IF(E22="","",SUMIFS(Repayments!$K$6:$K$205,Repayments!$B$6:$B$205,A22))</f>
        <v/>
      </c>
      <c r="G22" s="19" t="str">
        <f aca="false">IF(E22="","",SUMIFS(Repayments!$J$6:$J$205,Repayments!$B$6:$B$205,A22))</f>
        <v/>
      </c>
      <c r="H22" s="18" t="str">
        <f aca="false">IF(E22="","",E22-F22)</f>
        <v/>
      </c>
      <c r="I22" s="19" t="str">
        <f aca="false">IF(E22="","",SUMIFS(Repayments!$H$6:$H$205,Repayments!$B$6:$B$205,A22)-G22)</f>
        <v/>
      </c>
      <c r="J22" s="13" t="str">
        <f aca="false">IF(E22="","",IF(H22&lt;=0.005,"Cleared","Open"))</f>
        <v/>
      </c>
    </row>
    <row r="23" customFormat="false" ht="15" hidden="false" customHeight="false" outlineLevel="0" collapsed="false">
      <c r="A23" s="22" t="s">
        <v>82</v>
      </c>
      <c r="B23" s="5"/>
      <c r="C23" s="17" t="str">
        <f aca="false">IF(B23="","",IFERROR(INDEX(Members!$B$6:$B$45,MATCH(B23,Members!$A$6:$A$45,0)),"not found"))</f>
        <v/>
      </c>
      <c r="D23" s="14"/>
      <c r="E23" s="9"/>
      <c r="F23" s="19" t="str">
        <f aca="false">IF(E23="","",SUMIFS(Repayments!$K$6:$K$205,Repayments!$B$6:$B$205,A23))</f>
        <v/>
      </c>
      <c r="G23" s="19" t="str">
        <f aca="false">IF(E23="","",SUMIFS(Repayments!$J$6:$J$205,Repayments!$B$6:$B$205,A23))</f>
        <v/>
      </c>
      <c r="H23" s="18" t="str">
        <f aca="false">IF(E23="","",E23-F23)</f>
        <v/>
      </c>
      <c r="I23" s="19" t="str">
        <f aca="false">IF(E23="","",SUMIFS(Repayments!$H$6:$H$205,Repayments!$B$6:$B$205,A23)-G23)</f>
        <v/>
      </c>
      <c r="J23" s="13" t="str">
        <f aca="false">IF(E23="","",IF(H23&lt;=0.005,"Cleared","Open"))</f>
        <v/>
      </c>
    </row>
    <row r="24" customFormat="false" ht="15" hidden="false" customHeight="false" outlineLevel="0" collapsed="false">
      <c r="A24" s="22" t="s">
        <v>83</v>
      </c>
      <c r="B24" s="5"/>
      <c r="C24" s="17" t="str">
        <f aca="false">IF(B24="","",IFERROR(INDEX(Members!$B$6:$B$45,MATCH(B24,Members!$A$6:$A$45,0)),"not found"))</f>
        <v/>
      </c>
      <c r="D24" s="14"/>
      <c r="E24" s="9"/>
      <c r="F24" s="19" t="str">
        <f aca="false">IF(E24="","",SUMIFS(Repayments!$K$6:$K$205,Repayments!$B$6:$B$205,A24))</f>
        <v/>
      </c>
      <c r="G24" s="19" t="str">
        <f aca="false">IF(E24="","",SUMIFS(Repayments!$J$6:$J$205,Repayments!$B$6:$B$205,A24))</f>
        <v/>
      </c>
      <c r="H24" s="18" t="str">
        <f aca="false">IF(E24="","",E24-F24)</f>
        <v/>
      </c>
      <c r="I24" s="19" t="str">
        <f aca="false">IF(E24="","",SUMIFS(Repayments!$H$6:$H$205,Repayments!$B$6:$B$205,A24)-G24)</f>
        <v/>
      </c>
      <c r="J24" s="13" t="str">
        <f aca="false">IF(E24="","",IF(H24&lt;=0.005,"Cleared","Open"))</f>
        <v/>
      </c>
    </row>
    <row r="25" customFormat="false" ht="15" hidden="false" customHeight="false" outlineLevel="0" collapsed="false">
      <c r="A25" s="22" t="s">
        <v>84</v>
      </c>
      <c r="B25" s="5"/>
      <c r="C25" s="17" t="str">
        <f aca="false">IF(B25="","",IFERROR(INDEX(Members!$B$6:$B$45,MATCH(B25,Members!$A$6:$A$45,0)),"not found"))</f>
        <v/>
      </c>
      <c r="D25" s="14"/>
      <c r="E25" s="9"/>
      <c r="F25" s="19" t="str">
        <f aca="false">IF(E25="","",SUMIFS(Repayments!$K$6:$K$205,Repayments!$B$6:$B$205,A25))</f>
        <v/>
      </c>
      <c r="G25" s="19" t="str">
        <f aca="false">IF(E25="","",SUMIFS(Repayments!$J$6:$J$205,Repayments!$B$6:$B$205,A25))</f>
        <v/>
      </c>
      <c r="H25" s="18" t="str">
        <f aca="false">IF(E25="","",E25-F25)</f>
        <v/>
      </c>
      <c r="I25" s="19" t="str">
        <f aca="false">IF(E25="","",SUMIFS(Repayments!$H$6:$H$205,Repayments!$B$6:$B$205,A25)-G25)</f>
        <v/>
      </c>
      <c r="J25" s="13" t="str">
        <f aca="false">IF(E25="","",IF(H25&lt;=0.005,"Cleared","Open"))</f>
        <v/>
      </c>
    </row>
    <row r="26" customFormat="false" ht="15" hidden="false" customHeight="false" outlineLevel="0" collapsed="false">
      <c r="A26" s="22" t="s">
        <v>85</v>
      </c>
      <c r="B26" s="5"/>
      <c r="C26" s="17" t="str">
        <f aca="false">IF(B26="","",IFERROR(INDEX(Members!$B$6:$B$45,MATCH(B26,Members!$A$6:$A$45,0)),"not found"))</f>
        <v/>
      </c>
      <c r="D26" s="14"/>
      <c r="E26" s="9"/>
      <c r="F26" s="19" t="str">
        <f aca="false">IF(E26="","",SUMIFS(Repayments!$K$6:$K$205,Repayments!$B$6:$B$205,A26))</f>
        <v/>
      </c>
      <c r="G26" s="19" t="str">
        <f aca="false">IF(E26="","",SUMIFS(Repayments!$J$6:$J$205,Repayments!$B$6:$B$205,A26))</f>
        <v/>
      </c>
      <c r="H26" s="18" t="str">
        <f aca="false">IF(E26="","",E26-F26)</f>
        <v/>
      </c>
      <c r="I26" s="19" t="str">
        <f aca="false">IF(E26="","",SUMIFS(Repayments!$H$6:$H$205,Repayments!$B$6:$B$205,A26)-G26)</f>
        <v/>
      </c>
      <c r="J26" s="13" t="str">
        <f aca="false">IF(E26="","",IF(H26&lt;=0.005,"Cleared","Open"))</f>
        <v/>
      </c>
    </row>
    <row r="27" customFormat="false" ht="15" hidden="false" customHeight="false" outlineLevel="0" collapsed="false">
      <c r="A27" s="22" t="s">
        <v>86</v>
      </c>
      <c r="B27" s="5"/>
      <c r="C27" s="17" t="str">
        <f aca="false">IF(B27="","",IFERROR(INDEX(Members!$B$6:$B$45,MATCH(B27,Members!$A$6:$A$45,0)),"not found"))</f>
        <v/>
      </c>
      <c r="D27" s="14"/>
      <c r="E27" s="9"/>
      <c r="F27" s="19" t="str">
        <f aca="false">IF(E27="","",SUMIFS(Repayments!$K$6:$K$205,Repayments!$B$6:$B$205,A27))</f>
        <v/>
      </c>
      <c r="G27" s="19" t="str">
        <f aca="false">IF(E27="","",SUMIFS(Repayments!$J$6:$J$205,Repayments!$B$6:$B$205,A27))</f>
        <v/>
      </c>
      <c r="H27" s="18" t="str">
        <f aca="false">IF(E27="","",E27-F27)</f>
        <v/>
      </c>
      <c r="I27" s="19" t="str">
        <f aca="false">IF(E27="","",SUMIFS(Repayments!$H$6:$H$205,Repayments!$B$6:$B$205,A27)-G27)</f>
        <v/>
      </c>
      <c r="J27" s="13" t="str">
        <f aca="false">IF(E27="","",IF(H27&lt;=0.005,"Cleared","Open"))</f>
        <v/>
      </c>
    </row>
    <row r="28" customFormat="false" ht="15" hidden="false" customHeight="false" outlineLevel="0" collapsed="false">
      <c r="A28" s="22" t="s">
        <v>87</v>
      </c>
      <c r="B28" s="5"/>
      <c r="C28" s="17" t="str">
        <f aca="false">IF(B28="","",IFERROR(INDEX(Members!$B$6:$B$45,MATCH(B28,Members!$A$6:$A$45,0)),"not found"))</f>
        <v/>
      </c>
      <c r="D28" s="14"/>
      <c r="E28" s="9"/>
      <c r="F28" s="19" t="str">
        <f aca="false">IF(E28="","",SUMIFS(Repayments!$K$6:$K$205,Repayments!$B$6:$B$205,A28))</f>
        <v/>
      </c>
      <c r="G28" s="19" t="str">
        <f aca="false">IF(E28="","",SUMIFS(Repayments!$J$6:$J$205,Repayments!$B$6:$B$205,A28))</f>
        <v/>
      </c>
      <c r="H28" s="18" t="str">
        <f aca="false">IF(E28="","",E28-F28)</f>
        <v/>
      </c>
      <c r="I28" s="19" t="str">
        <f aca="false">IF(E28="","",SUMIFS(Repayments!$H$6:$H$205,Repayments!$B$6:$B$205,A28)-G28)</f>
        <v/>
      </c>
      <c r="J28" s="13" t="str">
        <f aca="false">IF(E28="","",IF(H28&lt;=0.005,"Cleared","Open"))</f>
        <v/>
      </c>
    </row>
    <row r="29" customFormat="false" ht="15" hidden="false" customHeight="false" outlineLevel="0" collapsed="false">
      <c r="A29" s="22" t="s">
        <v>88</v>
      </c>
      <c r="B29" s="5"/>
      <c r="C29" s="17" t="str">
        <f aca="false">IF(B29="","",IFERROR(INDEX(Members!$B$6:$B$45,MATCH(B29,Members!$A$6:$A$45,0)),"not found"))</f>
        <v/>
      </c>
      <c r="D29" s="14"/>
      <c r="E29" s="9"/>
      <c r="F29" s="19" t="str">
        <f aca="false">IF(E29="","",SUMIFS(Repayments!$K$6:$K$205,Repayments!$B$6:$B$205,A29))</f>
        <v/>
      </c>
      <c r="G29" s="19" t="str">
        <f aca="false">IF(E29="","",SUMIFS(Repayments!$J$6:$J$205,Repayments!$B$6:$B$205,A29))</f>
        <v/>
      </c>
      <c r="H29" s="18" t="str">
        <f aca="false">IF(E29="","",E29-F29)</f>
        <v/>
      </c>
      <c r="I29" s="19" t="str">
        <f aca="false">IF(E29="","",SUMIFS(Repayments!$H$6:$H$205,Repayments!$B$6:$B$205,A29)-G29)</f>
        <v/>
      </c>
      <c r="J29" s="13" t="str">
        <f aca="false">IF(E29="","",IF(H29&lt;=0.005,"Cleared","Open"))</f>
        <v/>
      </c>
    </row>
    <row r="30" customFormat="false" ht="15" hidden="false" customHeight="false" outlineLevel="0" collapsed="false">
      <c r="A30" s="22" t="s">
        <v>89</v>
      </c>
      <c r="B30" s="5"/>
      <c r="C30" s="17" t="str">
        <f aca="false">IF(B30="","",IFERROR(INDEX(Members!$B$6:$B$45,MATCH(B30,Members!$A$6:$A$45,0)),"not found"))</f>
        <v/>
      </c>
      <c r="D30" s="14"/>
      <c r="E30" s="9"/>
      <c r="F30" s="19" t="str">
        <f aca="false">IF(E30="","",SUMIFS(Repayments!$K$6:$K$205,Repayments!$B$6:$B$205,A30))</f>
        <v/>
      </c>
      <c r="G30" s="19" t="str">
        <f aca="false">IF(E30="","",SUMIFS(Repayments!$J$6:$J$205,Repayments!$B$6:$B$205,A30))</f>
        <v/>
      </c>
      <c r="H30" s="18" t="str">
        <f aca="false">IF(E30="","",E30-F30)</f>
        <v/>
      </c>
      <c r="I30" s="19" t="str">
        <f aca="false">IF(E30="","",SUMIFS(Repayments!$H$6:$H$205,Repayments!$B$6:$B$205,A30)-G30)</f>
        <v/>
      </c>
      <c r="J30" s="13" t="str">
        <f aca="false">IF(E30="","",IF(H30&lt;=0.005,"Cleared","Open"))</f>
        <v/>
      </c>
    </row>
    <row r="31" customFormat="false" ht="15" hidden="false" customHeight="false" outlineLevel="0" collapsed="false">
      <c r="A31" s="22" t="s">
        <v>90</v>
      </c>
      <c r="B31" s="5"/>
      <c r="C31" s="17" t="str">
        <f aca="false">IF(B31="","",IFERROR(INDEX(Members!$B$6:$B$45,MATCH(B31,Members!$A$6:$A$45,0)),"not found"))</f>
        <v/>
      </c>
      <c r="D31" s="14"/>
      <c r="E31" s="9"/>
      <c r="F31" s="19" t="str">
        <f aca="false">IF(E31="","",SUMIFS(Repayments!$K$6:$K$205,Repayments!$B$6:$B$205,A31))</f>
        <v/>
      </c>
      <c r="G31" s="19" t="str">
        <f aca="false">IF(E31="","",SUMIFS(Repayments!$J$6:$J$205,Repayments!$B$6:$B$205,A31))</f>
        <v/>
      </c>
      <c r="H31" s="18" t="str">
        <f aca="false">IF(E31="","",E31-F31)</f>
        <v/>
      </c>
      <c r="I31" s="19" t="str">
        <f aca="false">IF(E31="","",SUMIFS(Repayments!$H$6:$H$205,Repayments!$B$6:$B$205,A31)-G31)</f>
        <v/>
      </c>
      <c r="J31" s="13" t="str">
        <f aca="false">IF(E31="","",IF(H31&lt;=0.005,"Cleared","Open"))</f>
        <v/>
      </c>
    </row>
    <row r="32" customFormat="false" ht="15" hidden="false" customHeight="false" outlineLevel="0" collapsed="false">
      <c r="A32" s="22" t="s">
        <v>91</v>
      </c>
      <c r="B32" s="5"/>
      <c r="C32" s="17" t="str">
        <f aca="false">IF(B32="","",IFERROR(INDEX(Members!$B$6:$B$45,MATCH(B32,Members!$A$6:$A$45,0)),"not found"))</f>
        <v/>
      </c>
      <c r="D32" s="14"/>
      <c r="E32" s="9"/>
      <c r="F32" s="19" t="str">
        <f aca="false">IF(E32="","",SUMIFS(Repayments!$K$6:$K$205,Repayments!$B$6:$B$205,A32))</f>
        <v/>
      </c>
      <c r="G32" s="19" t="str">
        <f aca="false">IF(E32="","",SUMIFS(Repayments!$J$6:$J$205,Repayments!$B$6:$B$205,A32))</f>
        <v/>
      </c>
      <c r="H32" s="18" t="str">
        <f aca="false">IF(E32="","",E32-F32)</f>
        <v/>
      </c>
      <c r="I32" s="19" t="str">
        <f aca="false">IF(E32="","",SUMIFS(Repayments!$H$6:$H$205,Repayments!$B$6:$B$205,A32)-G32)</f>
        <v/>
      </c>
      <c r="J32" s="13" t="str">
        <f aca="false">IF(E32="","",IF(H32&lt;=0.005,"Cleared","Open"))</f>
        <v/>
      </c>
    </row>
    <row r="33" customFormat="false" ht="15" hidden="false" customHeight="false" outlineLevel="0" collapsed="false">
      <c r="A33" s="22" t="s">
        <v>92</v>
      </c>
      <c r="B33" s="5"/>
      <c r="C33" s="17" t="str">
        <f aca="false">IF(B33="","",IFERROR(INDEX(Members!$B$6:$B$45,MATCH(B33,Members!$A$6:$A$45,0)),"not found"))</f>
        <v/>
      </c>
      <c r="D33" s="14"/>
      <c r="E33" s="9"/>
      <c r="F33" s="19" t="str">
        <f aca="false">IF(E33="","",SUMIFS(Repayments!$K$6:$K$205,Repayments!$B$6:$B$205,A33))</f>
        <v/>
      </c>
      <c r="G33" s="19" t="str">
        <f aca="false">IF(E33="","",SUMIFS(Repayments!$J$6:$J$205,Repayments!$B$6:$B$205,A33))</f>
        <v/>
      </c>
      <c r="H33" s="18" t="str">
        <f aca="false">IF(E33="","",E33-F33)</f>
        <v/>
      </c>
      <c r="I33" s="19" t="str">
        <f aca="false">IF(E33="","",SUMIFS(Repayments!$H$6:$H$205,Repayments!$B$6:$B$205,A33)-G33)</f>
        <v/>
      </c>
      <c r="J33" s="13" t="str">
        <f aca="false">IF(E33="","",IF(H33&lt;=0.005,"Cleared","Open"))</f>
        <v/>
      </c>
    </row>
    <row r="34" customFormat="false" ht="15" hidden="false" customHeight="false" outlineLevel="0" collapsed="false">
      <c r="A34" s="22" t="s">
        <v>93</v>
      </c>
      <c r="B34" s="5"/>
      <c r="C34" s="17" t="str">
        <f aca="false">IF(B34="","",IFERROR(INDEX(Members!$B$6:$B$45,MATCH(B34,Members!$A$6:$A$45,0)),"not found"))</f>
        <v/>
      </c>
      <c r="D34" s="14"/>
      <c r="E34" s="9"/>
      <c r="F34" s="19" t="str">
        <f aca="false">IF(E34="","",SUMIFS(Repayments!$K$6:$K$205,Repayments!$B$6:$B$205,A34))</f>
        <v/>
      </c>
      <c r="G34" s="19" t="str">
        <f aca="false">IF(E34="","",SUMIFS(Repayments!$J$6:$J$205,Repayments!$B$6:$B$205,A34))</f>
        <v/>
      </c>
      <c r="H34" s="18" t="str">
        <f aca="false">IF(E34="","",E34-F34)</f>
        <v/>
      </c>
      <c r="I34" s="19" t="str">
        <f aca="false">IF(E34="","",SUMIFS(Repayments!$H$6:$H$205,Repayments!$B$6:$B$205,A34)-G34)</f>
        <v/>
      </c>
      <c r="J34" s="13" t="str">
        <f aca="false">IF(E34="","",IF(H34&lt;=0.005,"Cleared","Open"))</f>
        <v/>
      </c>
    </row>
    <row r="35" customFormat="false" ht="15" hidden="false" customHeight="false" outlineLevel="0" collapsed="false">
      <c r="A35" s="22" t="s">
        <v>94</v>
      </c>
      <c r="B35" s="5"/>
      <c r="C35" s="17" t="str">
        <f aca="false">IF(B35="","",IFERROR(INDEX(Members!$B$6:$B$45,MATCH(B35,Members!$A$6:$A$45,0)),"not found"))</f>
        <v/>
      </c>
      <c r="D35" s="14"/>
      <c r="E35" s="9"/>
      <c r="F35" s="19" t="str">
        <f aca="false">IF(E35="","",SUMIFS(Repayments!$K$6:$K$205,Repayments!$B$6:$B$205,A35))</f>
        <v/>
      </c>
      <c r="G35" s="19" t="str">
        <f aca="false">IF(E35="","",SUMIFS(Repayments!$J$6:$J$205,Repayments!$B$6:$B$205,A35))</f>
        <v/>
      </c>
      <c r="H35" s="18" t="str">
        <f aca="false">IF(E35="","",E35-F35)</f>
        <v/>
      </c>
      <c r="I35" s="19" t="str">
        <f aca="false">IF(E35="","",SUMIFS(Repayments!$H$6:$H$205,Repayments!$B$6:$B$205,A35)-G35)</f>
        <v/>
      </c>
      <c r="J35" s="13" t="str">
        <f aca="false">IF(E35="","",IF(H35&lt;=0.005,"Cleared","Open"))</f>
        <v/>
      </c>
    </row>
    <row r="36" customFormat="false" ht="15" hidden="false" customHeight="false" outlineLevel="0" collapsed="false">
      <c r="A36" s="22" t="s">
        <v>95</v>
      </c>
      <c r="B36" s="5"/>
      <c r="C36" s="17" t="str">
        <f aca="false">IF(B36="","",IFERROR(INDEX(Members!$B$6:$B$45,MATCH(B36,Members!$A$6:$A$45,0)),"not found"))</f>
        <v/>
      </c>
      <c r="D36" s="14"/>
      <c r="E36" s="9"/>
      <c r="F36" s="19" t="str">
        <f aca="false">IF(E36="","",SUMIFS(Repayments!$K$6:$K$205,Repayments!$B$6:$B$205,A36))</f>
        <v/>
      </c>
      <c r="G36" s="19" t="str">
        <f aca="false">IF(E36="","",SUMIFS(Repayments!$J$6:$J$205,Repayments!$B$6:$B$205,A36))</f>
        <v/>
      </c>
      <c r="H36" s="18" t="str">
        <f aca="false">IF(E36="","",E36-F36)</f>
        <v/>
      </c>
      <c r="I36" s="19" t="str">
        <f aca="false">IF(E36="","",SUMIFS(Repayments!$H$6:$H$205,Repayments!$B$6:$B$205,A36)-G36)</f>
        <v/>
      </c>
      <c r="J36" s="13" t="str">
        <f aca="false">IF(E36="","",IF(H36&lt;=0.005,"Cleared","Open"))</f>
        <v/>
      </c>
    </row>
    <row r="37" customFormat="false" ht="15" hidden="false" customHeight="false" outlineLevel="0" collapsed="false">
      <c r="A37" s="22" t="s">
        <v>96</v>
      </c>
      <c r="B37" s="5"/>
      <c r="C37" s="17" t="str">
        <f aca="false">IF(B37="","",IFERROR(INDEX(Members!$B$6:$B$45,MATCH(B37,Members!$A$6:$A$45,0)),"not found"))</f>
        <v/>
      </c>
      <c r="D37" s="14"/>
      <c r="E37" s="9"/>
      <c r="F37" s="19" t="str">
        <f aca="false">IF(E37="","",SUMIFS(Repayments!$K$6:$K$205,Repayments!$B$6:$B$205,A37))</f>
        <v/>
      </c>
      <c r="G37" s="19" t="str">
        <f aca="false">IF(E37="","",SUMIFS(Repayments!$J$6:$J$205,Repayments!$B$6:$B$205,A37))</f>
        <v/>
      </c>
      <c r="H37" s="18" t="str">
        <f aca="false">IF(E37="","",E37-F37)</f>
        <v/>
      </c>
      <c r="I37" s="19" t="str">
        <f aca="false">IF(E37="","",SUMIFS(Repayments!$H$6:$H$205,Repayments!$B$6:$B$205,A37)-G37)</f>
        <v/>
      </c>
      <c r="J37" s="13" t="str">
        <f aca="false">IF(E37="","",IF(H37&lt;=0.005,"Cleared","Open"))</f>
        <v/>
      </c>
    </row>
    <row r="38" customFormat="false" ht="15" hidden="false" customHeight="false" outlineLevel="0" collapsed="false">
      <c r="A38" s="22" t="s">
        <v>97</v>
      </c>
      <c r="B38" s="5"/>
      <c r="C38" s="17" t="str">
        <f aca="false">IF(B38="","",IFERROR(INDEX(Members!$B$6:$B$45,MATCH(B38,Members!$A$6:$A$45,0)),"not found"))</f>
        <v/>
      </c>
      <c r="D38" s="14"/>
      <c r="E38" s="9"/>
      <c r="F38" s="19" t="str">
        <f aca="false">IF(E38="","",SUMIFS(Repayments!$K$6:$K$205,Repayments!$B$6:$B$205,A38))</f>
        <v/>
      </c>
      <c r="G38" s="19" t="str">
        <f aca="false">IF(E38="","",SUMIFS(Repayments!$J$6:$J$205,Repayments!$B$6:$B$205,A38))</f>
        <v/>
      </c>
      <c r="H38" s="18" t="str">
        <f aca="false">IF(E38="","",E38-F38)</f>
        <v/>
      </c>
      <c r="I38" s="19" t="str">
        <f aca="false">IF(E38="","",SUMIFS(Repayments!$H$6:$H$205,Repayments!$B$6:$B$205,A38)-G38)</f>
        <v/>
      </c>
      <c r="J38" s="13" t="str">
        <f aca="false">IF(E38="","",IF(H38&lt;=0.005,"Cleared","Open"))</f>
        <v/>
      </c>
    </row>
    <row r="39" customFormat="false" ht="15" hidden="false" customHeight="false" outlineLevel="0" collapsed="false">
      <c r="A39" s="22" t="s">
        <v>98</v>
      </c>
      <c r="B39" s="5"/>
      <c r="C39" s="17" t="str">
        <f aca="false">IF(B39="","",IFERROR(INDEX(Members!$B$6:$B$45,MATCH(B39,Members!$A$6:$A$45,0)),"not found"))</f>
        <v/>
      </c>
      <c r="D39" s="14"/>
      <c r="E39" s="9"/>
      <c r="F39" s="19" t="str">
        <f aca="false">IF(E39="","",SUMIFS(Repayments!$K$6:$K$205,Repayments!$B$6:$B$205,A39))</f>
        <v/>
      </c>
      <c r="G39" s="19" t="str">
        <f aca="false">IF(E39="","",SUMIFS(Repayments!$J$6:$J$205,Repayments!$B$6:$B$205,A39))</f>
        <v/>
      </c>
      <c r="H39" s="18" t="str">
        <f aca="false">IF(E39="","",E39-F39)</f>
        <v/>
      </c>
      <c r="I39" s="19" t="str">
        <f aca="false">IF(E39="","",SUMIFS(Repayments!$H$6:$H$205,Repayments!$B$6:$B$205,A39)-G39)</f>
        <v/>
      </c>
      <c r="J39" s="13" t="str">
        <f aca="false">IF(E39="","",IF(H39&lt;=0.005,"Cleared","Open"))</f>
        <v/>
      </c>
    </row>
    <row r="40" customFormat="false" ht="15" hidden="false" customHeight="false" outlineLevel="0" collapsed="false">
      <c r="A40" s="22" t="s">
        <v>99</v>
      </c>
      <c r="B40" s="5"/>
      <c r="C40" s="17" t="str">
        <f aca="false">IF(B40="","",IFERROR(INDEX(Members!$B$6:$B$45,MATCH(B40,Members!$A$6:$A$45,0)),"not found"))</f>
        <v/>
      </c>
      <c r="D40" s="14"/>
      <c r="E40" s="9"/>
      <c r="F40" s="19" t="str">
        <f aca="false">IF(E40="","",SUMIFS(Repayments!$K$6:$K$205,Repayments!$B$6:$B$205,A40))</f>
        <v/>
      </c>
      <c r="G40" s="19" t="str">
        <f aca="false">IF(E40="","",SUMIFS(Repayments!$J$6:$J$205,Repayments!$B$6:$B$205,A40))</f>
        <v/>
      </c>
      <c r="H40" s="18" t="str">
        <f aca="false">IF(E40="","",E40-F40)</f>
        <v/>
      </c>
      <c r="I40" s="19" t="str">
        <f aca="false">IF(E40="","",SUMIFS(Repayments!$H$6:$H$205,Repayments!$B$6:$B$205,A40)-G40)</f>
        <v/>
      </c>
      <c r="J40" s="13" t="str">
        <f aca="false">IF(E40="","",IF(H40&lt;=0.005,"Cleared","Open"))</f>
        <v/>
      </c>
    </row>
    <row r="41" customFormat="false" ht="15" hidden="false" customHeight="false" outlineLevel="0" collapsed="false">
      <c r="A41" s="22" t="s">
        <v>100</v>
      </c>
      <c r="B41" s="5"/>
      <c r="C41" s="17" t="str">
        <f aca="false">IF(B41="","",IFERROR(INDEX(Members!$B$6:$B$45,MATCH(B41,Members!$A$6:$A$45,0)),"not found"))</f>
        <v/>
      </c>
      <c r="D41" s="14"/>
      <c r="E41" s="9"/>
      <c r="F41" s="19" t="str">
        <f aca="false">IF(E41="","",SUMIFS(Repayments!$K$6:$K$205,Repayments!$B$6:$B$205,A41))</f>
        <v/>
      </c>
      <c r="G41" s="19" t="str">
        <f aca="false">IF(E41="","",SUMIFS(Repayments!$J$6:$J$205,Repayments!$B$6:$B$205,A41))</f>
        <v/>
      </c>
      <c r="H41" s="18" t="str">
        <f aca="false">IF(E41="","",E41-F41)</f>
        <v/>
      </c>
      <c r="I41" s="19" t="str">
        <f aca="false">IF(E41="","",SUMIFS(Repayments!$H$6:$H$205,Repayments!$B$6:$B$205,A41)-G41)</f>
        <v/>
      </c>
      <c r="J41" s="13" t="str">
        <f aca="false">IF(E41="","",IF(H41&lt;=0.005,"Cleared","Open"))</f>
        <v/>
      </c>
    </row>
    <row r="42" customFormat="false" ht="15" hidden="false" customHeight="false" outlineLevel="0" collapsed="false">
      <c r="A42" s="22" t="s">
        <v>101</v>
      </c>
      <c r="B42" s="5"/>
      <c r="C42" s="17" t="str">
        <f aca="false">IF(B42="","",IFERROR(INDEX(Members!$B$6:$B$45,MATCH(B42,Members!$A$6:$A$45,0)),"not found"))</f>
        <v/>
      </c>
      <c r="D42" s="14"/>
      <c r="E42" s="9"/>
      <c r="F42" s="19" t="str">
        <f aca="false">IF(E42="","",SUMIFS(Repayments!$K$6:$K$205,Repayments!$B$6:$B$205,A42))</f>
        <v/>
      </c>
      <c r="G42" s="19" t="str">
        <f aca="false">IF(E42="","",SUMIFS(Repayments!$J$6:$J$205,Repayments!$B$6:$B$205,A42))</f>
        <v/>
      </c>
      <c r="H42" s="18" t="str">
        <f aca="false">IF(E42="","",E42-F42)</f>
        <v/>
      </c>
      <c r="I42" s="19" t="str">
        <f aca="false">IF(E42="","",SUMIFS(Repayments!$H$6:$H$205,Repayments!$B$6:$B$205,A42)-G42)</f>
        <v/>
      </c>
      <c r="J42" s="13" t="str">
        <f aca="false">IF(E42="","",IF(H42&lt;=0.005,"Cleared","Open"))</f>
        <v/>
      </c>
    </row>
    <row r="43" customFormat="false" ht="15" hidden="false" customHeight="false" outlineLevel="0" collapsed="false">
      <c r="A43" s="22" t="s">
        <v>102</v>
      </c>
      <c r="B43" s="5"/>
      <c r="C43" s="17" t="str">
        <f aca="false">IF(B43="","",IFERROR(INDEX(Members!$B$6:$B$45,MATCH(B43,Members!$A$6:$A$45,0)),"not found"))</f>
        <v/>
      </c>
      <c r="D43" s="14"/>
      <c r="E43" s="9"/>
      <c r="F43" s="19" t="str">
        <f aca="false">IF(E43="","",SUMIFS(Repayments!$K$6:$K$205,Repayments!$B$6:$B$205,A43))</f>
        <v/>
      </c>
      <c r="G43" s="19" t="str">
        <f aca="false">IF(E43="","",SUMIFS(Repayments!$J$6:$J$205,Repayments!$B$6:$B$205,A43))</f>
        <v/>
      </c>
      <c r="H43" s="18" t="str">
        <f aca="false">IF(E43="","",E43-F43)</f>
        <v/>
      </c>
      <c r="I43" s="19" t="str">
        <f aca="false">IF(E43="","",SUMIFS(Repayments!$H$6:$H$205,Repayments!$B$6:$B$205,A43)-G43)</f>
        <v/>
      </c>
      <c r="J43" s="13" t="str">
        <f aca="false">IF(E43="","",IF(H43&lt;=0.005,"Cleared","Open"))</f>
        <v/>
      </c>
    </row>
    <row r="44" customFormat="false" ht="15" hidden="false" customHeight="false" outlineLevel="0" collapsed="false">
      <c r="A44" s="22" t="s">
        <v>103</v>
      </c>
      <c r="B44" s="5"/>
      <c r="C44" s="17" t="str">
        <f aca="false">IF(B44="","",IFERROR(INDEX(Members!$B$6:$B$45,MATCH(B44,Members!$A$6:$A$45,0)),"not found"))</f>
        <v/>
      </c>
      <c r="D44" s="14"/>
      <c r="E44" s="9"/>
      <c r="F44" s="19" t="str">
        <f aca="false">IF(E44="","",SUMIFS(Repayments!$K$6:$K$205,Repayments!$B$6:$B$205,A44))</f>
        <v/>
      </c>
      <c r="G44" s="19" t="str">
        <f aca="false">IF(E44="","",SUMIFS(Repayments!$J$6:$J$205,Repayments!$B$6:$B$205,A44))</f>
        <v/>
      </c>
      <c r="H44" s="18" t="str">
        <f aca="false">IF(E44="","",E44-F44)</f>
        <v/>
      </c>
      <c r="I44" s="19" t="str">
        <f aca="false">IF(E44="","",SUMIFS(Repayments!$H$6:$H$205,Repayments!$B$6:$B$205,A44)-G44)</f>
        <v/>
      </c>
      <c r="J44" s="13" t="str">
        <f aca="false">IF(E44="","",IF(H44&lt;=0.005,"Cleared","Open"))</f>
        <v/>
      </c>
    </row>
    <row r="45" customFormat="false" ht="15" hidden="false" customHeight="false" outlineLevel="0" collapsed="false">
      <c r="A45" s="22" t="s">
        <v>104</v>
      </c>
      <c r="B45" s="5"/>
      <c r="C45" s="17" t="str">
        <f aca="false">IF(B45="","",IFERROR(INDEX(Members!$B$6:$B$45,MATCH(B45,Members!$A$6:$A$45,0)),"not found"))</f>
        <v/>
      </c>
      <c r="D45" s="14"/>
      <c r="E45" s="9"/>
      <c r="F45" s="19" t="str">
        <f aca="false">IF(E45="","",SUMIFS(Repayments!$K$6:$K$205,Repayments!$B$6:$B$205,A45))</f>
        <v/>
      </c>
      <c r="G45" s="19" t="str">
        <f aca="false">IF(E45="","",SUMIFS(Repayments!$J$6:$J$205,Repayments!$B$6:$B$205,A45))</f>
        <v/>
      </c>
      <c r="H45" s="18" t="str">
        <f aca="false">IF(E45="","",E45-F45)</f>
        <v/>
      </c>
      <c r="I45" s="19" t="str">
        <f aca="false">IF(E45="","",SUMIFS(Repayments!$H$6:$H$205,Repayments!$B$6:$B$205,A45)-G45)</f>
        <v/>
      </c>
      <c r="J45" s="13" t="str">
        <f aca="false">IF(E45="","",IF(H45&lt;=0.005,"Cleared","Open"))</f>
        <v/>
      </c>
    </row>
    <row r="46" customFormat="false" ht="15" hidden="false" customHeight="false" outlineLevel="0" collapsed="false">
      <c r="A46" s="22" t="s">
        <v>105</v>
      </c>
      <c r="B46" s="5"/>
      <c r="C46" s="17" t="str">
        <f aca="false">IF(B46="","",IFERROR(INDEX(Members!$B$6:$B$45,MATCH(B46,Members!$A$6:$A$45,0)),"not found"))</f>
        <v/>
      </c>
      <c r="D46" s="14"/>
      <c r="E46" s="9"/>
      <c r="F46" s="19" t="str">
        <f aca="false">IF(E46="","",SUMIFS(Repayments!$K$6:$K$205,Repayments!$B$6:$B$205,A46))</f>
        <v/>
      </c>
      <c r="G46" s="19" t="str">
        <f aca="false">IF(E46="","",SUMIFS(Repayments!$J$6:$J$205,Repayments!$B$6:$B$205,A46))</f>
        <v/>
      </c>
      <c r="H46" s="18" t="str">
        <f aca="false">IF(E46="","",E46-F46)</f>
        <v/>
      </c>
      <c r="I46" s="19" t="str">
        <f aca="false">IF(E46="","",SUMIFS(Repayments!$H$6:$H$205,Repayments!$B$6:$B$205,A46)-G46)</f>
        <v/>
      </c>
      <c r="J46" s="13" t="str">
        <f aca="false">IF(E46="","",IF(H46&lt;=0.005,"Cleared","Open"))</f>
        <v/>
      </c>
    </row>
    <row r="47" customFormat="false" ht="15" hidden="false" customHeight="false" outlineLevel="0" collapsed="false">
      <c r="A47" s="22" t="s">
        <v>106</v>
      </c>
      <c r="B47" s="5"/>
      <c r="C47" s="17" t="str">
        <f aca="false">IF(B47="","",IFERROR(INDEX(Members!$B$6:$B$45,MATCH(B47,Members!$A$6:$A$45,0)),"not found"))</f>
        <v/>
      </c>
      <c r="D47" s="14"/>
      <c r="E47" s="9"/>
      <c r="F47" s="19" t="str">
        <f aca="false">IF(E47="","",SUMIFS(Repayments!$K$6:$K$205,Repayments!$B$6:$B$205,A47))</f>
        <v/>
      </c>
      <c r="G47" s="19" t="str">
        <f aca="false">IF(E47="","",SUMIFS(Repayments!$J$6:$J$205,Repayments!$B$6:$B$205,A47))</f>
        <v/>
      </c>
      <c r="H47" s="18" t="str">
        <f aca="false">IF(E47="","",E47-F47)</f>
        <v/>
      </c>
      <c r="I47" s="19" t="str">
        <f aca="false">IF(E47="","",SUMIFS(Repayments!$H$6:$H$205,Repayments!$B$6:$B$205,A47)-G47)</f>
        <v/>
      </c>
      <c r="J47" s="13" t="str">
        <f aca="false">IF(E47="","",IF(H47&lt;=0.005,"Cleared","Open"))</f>
        <v/>
      </c>
    </row>
    <row r="48" customFormat="false" ht="15" hidden="false" customHeight="false" outlineLevel="0" collapsed="false">
      <c r="A48" s="22" t="s">
        <v>107</v>
      </c>
      <c r="B48" s="5"/>
      <c r="C48" s="17" t="str">
        <f aca="false">IF(B48="","",IFERROR(INDEX(Members!$B$6:$B$45,MATCH(B48,Members!$A$6:$A$45,0)),"not found"))</f>
        <v/>
      </c>
      <c r="D48" s="14"/>
      <c r="E48" s="9"/>
      <c r="F48" s="19" t="str">
        <f aca="false">IF(E48="","",SUMIFS(Repayments!$K$6:$K$205,Repayments!$B$6:$B$205,A48))</f>
        <v/>
      </c>
      <c r="G48" s="19" t="str">
        <f aca="false">IF(E48="","",SUMIFS(Repayments!$J$6:$J$205,Repayments!$B$6:$B$205,A48))</f>
        <v/>
      </c>
      <c r="H48" s="18" t="str">
        <f aca="false">IF(E48="","",E48-F48)</f>
        <v/>
      </c>
      <c r="I48" s="19" t="str">
        <f aca="false">IF(E48="","",SUMIFS(Repayments!$H$6:$H$205,Repayments!$B$6:$B$205,A48)-G48)</f>
        <v/>
      </c>
      <c r="J48" s="13" t="str">
        <f aca="false">IF(E48="","",IF(H48&lt;=0.005,"Cleared","Open"))</f>
        <v/>
      </c>
    </row>
    <row r="49" customFormat="false" ht="15" hidden="false" customHeight="false" outlineLevel="0" collapsed="false">
      <c r="A49" s="22" t="s">
        <v>108</v>
      </c>
      <c r="B49" s="5"/>
      <c r="C49" s="17" t="str">
        <f aca="false">IF(B49="","",IFERROR(INDEX(Members!$B$6:$B$45,MATCH(B49,Members!$A$6:$A$45,0)),"not found"))</f>
        <v/>
      </c>
      <c r="D49" s="14"/>
      <c r="E49" s="9"/>
      <c r="F49" s="19" t="str">
        <f aca="false">IF(E49="","",SUMIFS(Repayments!$K$6:$K$205,Repayments!$B$6:$B$205,A49))</f>
        <v/>
      </c>
      <c r="G49" s="19" t="str">
        <f aca="false">IF(E49="","",SUMIFS(Repayments!$J$6:$J$205,Repayments!$B$6:$B$205,A49))</f>
        <v/>
      </c>
      <c r="H49" s="18" t="str">
        <f aca="false">IF(E49="","",E49-F49)</f>
        <v/>
      </c>
      <c r="I49" s="19" t="str">
        <f aca="false">IF(E49="","",SUMIFS(Repayments!$H$6:$H$205,Repayments!$B$6:$B$205,A49)-G49)</f>
        <v/>
      </c>
      <c r="J49" s="13" t="str">
        <f aca="false">IF(E49="","",IF(H49&lt;=0.005,"Cleared","Open"))</f>
        <v/>
      </c>
    </row>
    <row r="50" customFormat="false" ht="15" hidden="false" customHeight="false" outlineLevel="0" collapsed="false">
      <c r="A50" s="22" t="s">
        <v>109</v>
      </c>
      <c r="B50" s="5"/>
      <c r="C50" s="17" t="str">
        <f aca="false">IF(B50="","",IFERROR(INDEX(Members!$B$6:$B$45,MATCH(B50,Members!$A$6:$A$45,0)),"not found"))</f>
        <v/>
      </c>
      <c r="D50" s="14"/>
      <c r="E50" s="9"/>
      <c r="F50" s="19" t="str">
        <f aca="false">IF(E50="","",SUMIFS(Repayments!$K$6:$K$205,Repayments!$B$6:$B$205,A50))</f>
        <v/>
      </c>
      <c r="G50" s="19" t="str">
        <f aca="false">IF(E50="","",SUMIFS(Repayments!$J$6:$J$205,Repayments!$B$6:$B$205,A50))</f>
        <v/>
      </c>
      <c r="H50" s="18" t="str">
        <f aca="false">IF(E50="","",E50-F50)</f>
        <v/>
      </c>
      <c r="I50" s="19" t="str">
        <f aca="false">IF(E50="","",SUMIFS(Repayments!$H$6:$H$205,Repayments!$B$6:$B$205,A50)-G50)</f>
        <v/>
      </c>
      <c r="J50" s="13" t="str">
        <f aca="false">IF(E50="","",IF(H50&lt;=0.005,"Cleared","Open"))</f>
        <v/>
      </c>
    </row>
    <row r="51" customFormat="false" ht="15" hidden="false" customHeight="false" outlineLevel="0" collapsed="false">
      <c r="A51" s="22" t="s">
        <v>110</v>
      </c>
      <c r="B51" s="5"/>
      <c r="C51" s="17" t="str">
        <f aca="false">IF(B51="","",IFERROR(INDEX(Members!$B$6:$B$45,MATCH(B51,Members!$A$6:$A$45,0)),"not found"))</f>
        <v/>
      </c>
      <c r="D51" s="14"/>
      <c r="E51" s="9"/>
      <c r="F51" s="19" t="str">
        <f aca="false">IF(E51="","",SUMIFS(Repayments!$K$6:$K$205,Repayments!$B$6:$B$205,A51))</f>
        <v/>
      </c>
      <c r="G51" s="19" t="str">
        <f aca="false">IF(E51="","",SUMIFS(Repayments!$J$6:$J$205,Repayments!$B$6:$B$205,A51))</f>
        <v/>
      </c>
      <c r="H51" s="18" t="str">
        <f aca="false">IF(E51="","",E51-F51)</f>
        <v/>
      </c>
      <c r="I51" s="19" t="str">
        <f aca="false">IF(E51="","",SUMIFS(Repayments!$H$6:$H$205,Repayments!$B$6:$B$205,A51)-G51)</f>
        <v/>
      </c>
      <c r="J51" s="13" t="str">
        <f aca="false">IF(E51="","",IF(H51&lt;=0.005,"Cleared","Open"))</f>
        <v/>
      </c>
    </row>
    <row r="52" customFormat="false" ht="15" hidden="false" customHeight="false" outlineLevel="0" collapsed="false">
      <c r="A52" s="22" t="s">
        <v>111</v>
      </c>
      <c r="B52" s="5"/>
      <c r="C52" s="17" t="str">
        <f aca="false">IF(B52="","",IFERROR(INDEX(Members!$B$6:$B$45,MATCH(B52,Members!$A$6:$A$45,0)),"not found"))</f>
        <v/>
      </c>
      <c r="D52" s="14"/>
      <c r="E52" s="9"/>
      <c r="F52" s="19" t="str">
        <f aca="false">IF(E52="","",SUMIFS(Repayments!$K$6:$K$205,Repayments!$B$6:$B$205,A52))</f>
        <v/>
      </c>
      <c r="G52" s="19" t="str">
        <f aca="false">IF(E52="","",SUMIFS(Repayments!$J$6:$J$205,Repayments!$B$6:$B$205,A52))</f>
        <v/>
      </c>
      <c r="H52" s="18" t="str">
        <f aca="false">IF(E52="","",E52-F52)</f>
        <v/>
      </c>
      <c r="I52" s="19" t="str">
        <f aca="false">IF(E52="","",SUMIFS(Repayments!$H$6:$H$205,Repayments!$B$6:$B$205,A52)-G52)</f>
        <v/>
      </c>
      <c r="J52" s="13" t="str">
        <f aca="false">IF(E52="","",IF(H52&lt;=0.005,"Cleared","Open"))</f>
        <v/>
      </c>
    </row>
    <row r="53" customFormat="false" ht="15" hidden="false" customHeight="false" outlineLevel="0" collapsed="false">
      <c r="A53" s="22" t="s">
        <v>112</v>
      </c>
      <c r="B53" s="5"/>
      <c r="C53" s="17" t="str">
        <f aca="false">IF(B53="","",IFERROR(INDEX(Members!$B$6:$B$45,MATCH(B53,Members!$A$6:$A$45,0)),"not found"))</f>
        <v/>
      </c>
      <c r="D53" s="14"/>
      <c r="E53" s="9"/>
      <c r="F53" s="19" t="str">
        <f aca="false">IF(E53="","",SUMIFS(Repayments!$K$6:$K$205,Repayments!$B$6:$B$205,A53))</f>
        <v/>
      </c>
      <c r="G53" s="19" t="str">
        <f aca="false">IF(E53="","",SUMIFS(Repayments!$J$6:$J$205,Repayments!$B$6:$B$205,A53))</f>
        <v/>
      </c>
      <c r="H53" s="18" t="str">
        <f aca="false">IF(E53="","",E53-F53)</f>
        <v/>
      </c>
      <c r="I53" s="19" t="str">
        <f aca="false">IF(E53="","",SUMIFS(Repayments!$H$6:$H$205,Repayments!$B$6:$B$205,A53)-G53)</f>
        <v/>
      </c>
      <c r="J53" s="13" t="str">
        <f aca="false">IF(E53="","",IF(H53&lt;=0.005,"Cleared","Open"))</f>
        <v/>
      </c>
    </row>
    <row r="54" customFormat="false" ht="15" hidden="false" customHeight="false" outlineLevel="0" collapsed="false">
      <c r="A54" s="22" t="s">
        <v>113</v>
      </c>
      <c r="B54" s="5"/>
      <c r="C54" s="17" t="str">
        <f aca="false">IF(B54="","",IFERROR(INDEX(Members!$B$6:$B$45,MATCH(B54,Members!$A$6:$A$45,0)),"not found"))</f>
        <v/>
      </c>
      <c r="D54" s="14"/>
      <c r="E54" s="9"/>
      <c r="F54" s="19" t="str">
        <f aca="false">IF(E54="","",SUMIFS(Repayments!$K$6:$K$205,Repayments!$B$6:$B$205,A54))</f>
        <v/>
      </c>
      <c r="G54" s="19" t="str">
        <f aca="false">IF(E54="","",SUMIFS(Repayments!$J$6:$J$205,Repayments!$B$6:$B$205,A54))</f>
        <v/>
      </c>
      <c r="H54" s="18" t="str">
        <f aca="false">IF(E54="","",E54-F54)</f>
        <v/>
      </c>
      <c r="I54" s="19" t="str">
        <f aca="false">IF(E54="","",SUMIFS(Repayments!$H$6:$H$205,Repayments!$B$6:$B$205,A54)-G54)</f>
        <v/>
      </c>
      <c r="J54" s="13" t="str">
        <f aca="false">IF(E54="","",IF(H54&lt;=0.005,"Cleared","Open"))</f>
        <v/>
      </c>
    </row>
    <row r="55" customFormat="false" ht="15" hidden="false" customHeight="false" outlineLevel="0" collapsed="false">
      <c r="A55" s="22" t="s">
        <v>114</v>
      </c>
      <c r="B55" s="5"/>
      <c r="C55" s="17" t="str">
        <f aca="false">IF(B55="","",IFERROR(INDEX(Members!$B$6:$B$45,MATCH(B55,Members!$A$6:$A$45,0)),"not found"))</f>
        <v/>
      </c>
      <c r="D55" s="14"/>
      <c r="E55" s="9"/>
      <c r="F55" s="19" t="str">
        <f aca="false">IF(E55="","",SUMIFS(Repayments!$K$6:$K$205,Repayments!$B$6:$B$205,A55))</f>
        <v/>
      </c>
      <c r="G55" s="19" t="str">
        <f aca="false">IF(E55="","",SUMIFS(Repayments!$J$6:$J$205,Repayments!$B$6:$B$205,A55))</f>
        <v/>
      </c>
      <c r="H55" s="18" t="str">
        <f aca="false">IF(E55="","",E55-F55)</f>
        <v/>
      </c>
      <c r="I55" s="19" t="str">
        <f aca="false">IF(E55="","",SUMIFS(Repayments!$H$6:$H$205,Repayments!$B$6:$B$205,A55)-G55)</f>
        <v/>
      </c>
      <c r="J55" s="13" t="str">
        <f aca="false">IF(E55="","",IF(H55&lt;=0.005,"Cleared","Open"))</f>
        <v/>
      </c>
    </row>
    <row r="56" customFormat="false" ht="15" hidden="false" customHeight="false" outlineLevel="0" collapsed="false">
      <c r="A56" s="22" t="s">
        <v>115</v>
      </c>
      <c r="B56" s="5"/>
      <c r="C56" s="17" t="str">
        <f aca="false">IF(B56="","",IFERROR(INDEX(Members!$B$6:$B$45,MATCH(B56,Members!$A$6:$A$45,0)),"not found"))</f>
        <v/>
      </c>
      <c r="D56" s="14"/>
      <c r="E56" s="9"/>
      <c r="F56" s="19" t="str">
        <f aca="false">IF(E56="","",SUMIFS(Repayments!$K$6:$K$205,Repayments!$B$6:$B$205,A56))</f>
        <v/>
      </c>
      <c r="G56" s="19" t="str">
        <f aca="false">IF(E56="","",SUMIFS(Repayments!$J$6:$J$205,Repayments!$B$6:$B$205,A56))</f>
        <v/>
      </c>
      <c r="H56" s="18" t="str">
        <f aca="false">IF(E56="","",E56-F56)</f>
        <v/>
      </c>
      <c r="I56" s="19" t="str">
        <f aca="false">IF(E56="","",SUMIFS(Repayments!$H$6:$H$205,Repayments!$B$6:$B$205,A56)-G56)</f>
        <v/>
      </c>
      <c r="J56" s="13" t="str">
        <f aca="false">IF(E56="","",IF(H56&lt;=0.005,"Cleared","Open"))</f>
        <v/>
      </c>
    </row>
    <row r="57" customFormat="false" ht="15" hidden="false" customHeight="false" outlineLevel="0" collapsed="false">
      <c r="A57" s="22" t="s">
        <v>116</v>
      </c>
      <c r="B57" s="5"/>
      <c r="C57" s="17" t="str">
        <f aca="false">IF(B57="","",IFERROR(INDEX(Members!$B$6:$B$45,MATCH(B57,Members!$A$6:$A$45,0)),"not found"))</f>
        <v/>
      </c>
      <c r="D57" s="14"/>
      <c r="E57" s="9"/>
      <c r="F57" s="19" t="str">
        <f aca="false">IF(E57="","",SUMIFS(Repayments!$K$6:$K$205,Repayments!$B$6:$B$205,A57))</f>
        <v/>
      </c>
      <c r="G57" s="19" t="str">
        <f aca="false">IF(E57="","",SUMIFS(Repayments!$J$6:$J$205,Repayments!$B$6:$B$205,A57))</f>
        <v/>
      </c>
      <c r="H57" s="18" t="str">
        <f aca="false">IF(E57="","",E57-F57)</f>
        <v/>
      </c>
      <c r="I57" s="19" t="str">
        <f aca="false">IF(E57="","",SUMIFS(Repayments!$H$6:$H$205,Repayments!$B$6:$B$205,A57)-G57)</f>
        <v/>
      </c>
      <c r="J57" s="13" t="str">
        <f aca="false">IF(E57="","",IF(H57&lt;=0.005,"Cleared","Open"))</f>
        <v/>
      </c>
    </row>
    <row r="58" customFormat="false" ht="15" hidden="false" customHeight="false" outlineLevel="0" collapsed="false">
      <c r="A58" s="22" t="s">
        <v>117</v>
      </c>
      <c r="B58" s="5"/>
      <c r="C58" s="17" t="str">
        <f aca="false">IF(B58="","",IFERROR(INDEX(Members!$B$6:$B$45,MATCH(B58,Members!$A$6:$A$45,0)),"not found"))</f>
        <v/>
      </c>
      <c r="D58" s="14"/>
      <c r="E58" s="9"/>
      <c r="F58" s="19" t="str">
        <f aca="false">IF(E58="","",SUMIFS(Repayments!$K$6:$K$205,Repayments!$B$6:$B$205,A58))</f>
        <v/>
      </c>
      <c r="G58" s="19" t="str">
        <f aca="false">IF(E58="","",SUMIFS(Repayments!$J$6:$J$205,Repayments!$B$6:$B$205,A58))</f>
        <v/>
      </c>
      <c r="H58" s="18" t="str">
        <f aca="false">IF(E58="","",E58-F58)</f>
        <v/>
      </c>
      <c r="I58" s="19" t="str">
        <f aca="false">IF(E58="","",SUMIFS(Repayments!$H$6:$H$205,Repayments!$B$6:$B$205,A58)-G58)</f>
        <v/>
      </c>
      <c r="J58" s="13" t="str">
        <f aca="false">IF(E58="","",IF(H58&lt;=0.005,"Cleared","Open"))</f>
        <v/>
      </c>
    </row>
    <row r="59" customFormat="false" ht="15" hidden="false" customHeight="false" outlineLevel="0" collapsed="false">
      <c r="A59" s="22" t="s">
        <v>118</v>
      </c>
      <c r="B59" s="5"/>
      <c r="C59" s="17" t="str">
        <f aca="false">IF(B59="","",IFERROR(INDEX(Members!$B$6:$B$45,MATCH(B59,Members!$A$6:$A$45,0)),"not found"))</f>
        <v/>
      </c>
      <c r="D59" s="14"/>
      <c r="E59" s="9"/>
      <c r="F59" s="19" t="str">
        <f aca="false">IF(E59="","",SUMIFS(Repayments!$K$6:$K$205,Repayments!$B$6:$B$205,A59))</f>
        <v/>
      </c>
      <c r="G59" s="19" t="str">
        <f aca="false">IF(E59="","",SUMIFS(Repayments!$J$6:$J$205,Repayments!$B$6:$B$205,A59))</f>
        <v/>
      </c>
      <c r="H59" s="18" t="str">
        <f aca="false">IF(E59="","",E59-F59)</f>
        <v/>
      </c>
      <c r="I59" s="19" t="str">
        <f aca="false">IF(E59="","",SUMIFS(Repayments!$H$6:$H$205,Repayments!$B$6:$B$205,A59)-G59)</f>
        <v/>
      </c>
      <c r="J59" s="13" t="str">
        <f aca="false">IF(E59="","",IF(H59&lt;=0.005,"Cleared","Open"))</f>
        <v/>
      </c>
    </row>
    <row r="60" customFormat="false" ht="15" hidden="false" customHeight="false" outlineLevel="0" collapsed="false">
      <c r="A60" s="22" t="s">
        <v>119</v>
      </c>
      <c r="B60" s="5"/>
      <c r="C60" s="17" t="str">
        <f aca="false">IF(B60="","",IFERROR(INDEX(Members!$B$6:$B$45,MATCH(B60,Members!$A$6:$A$45,0)),"not found"))</f>
        <v/>
      </c>
      <c r="D60" s="14"/>
      <c r="E60" s="9"/>
      <c r="F60" s="19" t="str">
        <f aca="false">IF(E60="","",SUMIFS(Repayments!$K$6:$K$205,Repayments!$B$6:$B$205,A60))</f>
        <v/>
      </c>
      <c r="G60" s="19" t="str">
        <f aca="false">IF(E60="","",SUMIFS(Repayments!$J$6:$J$205,Repayments!$B$6:$B$205,A60))</f>
        <v/>
      </c>
      <c r="H60" s="18" t="str">
        <f aca="false">IF(E60="","",E60-F60)</f>
        <v/>
      </c>
      <c r="I60" s="19" t="str">
        <f aca="false">IF(E60="","",SUMIFS(Repayments!$H$6:$H$205,Repayments!$B$6:$B$205,A60)-G60)</f>
        <v/>
      </c>
      <c r="J60" s="13" t="str">
        <f aca="false">IF(E60="","",IF(H60&lt;=0.005,"Cleared","Open"))</f>
        <v/>
      </c>
    </row>
    <row r="61" customFormat="false" ht="15" hidden="false" customHeight="false" outlineLevel="0" collapsed="false">
      <c r="A61" s="22" t="s">
        <v>120</v>
      </c>
      <c r="B61" s="5"/>
      <c r="C61" s="17" t="str">
        <f aca="false">IF(B61="","",IFERROR(INDEX(Members!$B$6:$B$45,MATCH(B61,Members!$A$6:$A$45,0)),"not found"))</f>
        <v/>
      </c>
      <c r="D61" s="14"/>
      <c r="E61" s="9"/>
      <c r="F61" s="19" t="str">
        <f aca="false">IF(E61="","",SUMIFS(Repayments!$K$6:$K$205,Repayments!$B$6:$B$205,A61))</f>
        <v/>
      </c>
      <c r="G61" s="19" t="str">
        <f aca="false">IF(E61="","",SUMIFS(Repayments!$J$6:$J$205,Repayments!$B$6:$B$205,A61))</f>
        <v/>
      </c>
      <c r="H61" s="18" t="str">
        <f aca="false">IF(E61="","",E61-F61)</f>
        <v/>
      </c>
      <c r="I61" s="19" t="str">
        <f aca="false">IF(E61="","",SUMIFS(Repayments!$H$6:$H$205,Repayments!$B$6:$B$205,A61)-G61)</f>
        <v/>
      </c>
      <c r="J61" s="13" t="str">
        <f aca="false">IF(E61="","",IF(H61&lt;=0.005,"Cleared","Open"))</f>
        <v/>
      </c>
    </row>
    <row r="62" customFormat="false" ht="15" hidden="false" customHeight="false" outlineLevel="0" collapsed="false">
      <c r="A62" s="22" t="s">
        <v>121</v>
      </c>
      <c r="B62" s="5"/>
      <c r="C62" s="17" t="str">
        <f aca="false">IF(B62="","",IFERROR(INDEX(Members!$B$6:$B$45,MATCH(B62,Members!$A$6:$A$45,0)),"not found"))</f>
        <v/>
      </c>
      <c r="D62" s="14"/>
      <c r="E62" s="9"/>
      <c r="F62" s="19" t="str">
        <f aca="false">IF(E62="","",SUMIFS(Repayments!$K$6:$K$205,Repayments!$B$6:$B$205,A62))</f>
        <v/>
      </c>
      <c r="G62" s="19" t="str">
        <f aca="false">IF(E62="","",SUMIFS(Repayments!$J$6:$J$205,Repayments!$B$6:$B$205,A62))</f>
        <v/>
      </c>
      <c r="H62" s="18" t="str">
        <f aca="false">IF(E62="","",E62-F62)</f>
        <v/>
      </c>
      <c r="I62" s="19" t="str">
        <f aca="false">IF(E62="","",SUMIFS(Repayments!$H$6:$H$205,Repayments!$B$6:$B$205,A62)-G62)</f>
        <v/>
      </c>
      <c r="J62" s="13" t="str">
        <f aca="false">IF(E62="","",IF(H62&lt;=0.005,"Cleared","Open"))</f>
        <v/>
      </c>
    </row>
    <row r="63" customFormat="false" ht="15" hidden="false" customHeight="false" outlineLevel="0" collapsed="false">
      <c r="A63" s="22" t="s">
        <v>122</v>
      </c>
      <c r="B63" s="5"/>
      <c r="C63" s="17" t="str">
        <f aca="false">IF(B63="","",IFERROR(INDEX(Members!$B$6:$B$45,MATCH(B63,Members!$A$6:$A$45,0)),"not found"))</f>
        <v/>
      </c>
      <c r="D63" s="14"/>
      <c r="E63" s="9"/>
      <c r="F63" s="19" t="str">
        <f aca="false">IF(E63="","",SUMIFS(Repayments!$K$6:$K$205,Repayments!$B$6:$B$205,A63))</f>
        <v/>
      </c>
      <c r="G63" s="19" t="str">
        <f aca="false">IF(E63="","",SUMIFS(Repayments!$J$6:$J$205,Repayments!$B$6:$B$205,A63))</f>
        <v/>
      </c>
      <c r="H63" s="18" t="str">
        <f aca="false">IF(E63="","",E63-F63)</f>
        <v/>
      </c>
      <c r="I63" s="19" t="str">
        <f aca="false">IF(E63="","",SUMIFS(Repayments!$H$6:$H$205,Repayments!$B$6:$B$205,A63)-G63)</f>
        <v/>
      </c>
      <c r="J63" s="13" t="str">
        <f aca="false">IF(E63="","",IF(H63&lt;=0.005,"Cleared","Open"))</f>
        <v/>
      </c>
    </row>
    <row r="64" customFormat="false" ht="15" hidden="false" customHeight="false" outlineLevel="0" collapsed="false">
      <c r="A64" s="22" t="s">
        <v>123</v>
      </c>
      <c r="B64" s="5"/>
      <c r="C64" s="17" t="str">
        <f aca="false">IF(B64="","",IFERROR(INDEX(Members!$B$6:$B$45,MATCH(B64,Members!$A$6:$A$45,0)),"not found"))</f>
        <v/>
      </c>
      <c r="D64" s="14"/>
      <c r="E64" s="9"/>
      <c r="F64" s="19" t="str">
        <f aca="false">IF(E64="","",SUMIFS(Repayments!$K$6:$K$205,Repayments!$B$6:$B$205,A64))</f>
        <v/>
      </c>
      <c r="G64" s="19" t="str">
        <f aca="false">IF(E64="","",SUMIFS(Repayments!$J$6:$J$205,Repayments!$B$6:$B$205,A64))</f>
        <v/>
      </c>
      <c r="H64" s="18" t="str">
        <f aca="false">IF(E64="","",E64-F64)</f>
        <v/>
      </c>
      <c r="I64" s="19" t="str">
        <f aca="false">IF(E64="","",SUMIFS(Repayments!$H$6:$H$205,Repayments!$B$6:$B$205,A64)-G64)</f>
        <v/>
      </c>
      <c r="J64" s="13" t="str">
        <f aca="false">IF(E64="","",IF(H64&lt;=0.005,"Cleared","Open"))</f>
        <v/>
      </c>
    </row>
    <row r="65" customFormat="false" ht="15" hidden="false" customHeight="false" outlineLevel="0" collapsed="false">
      <c r="A65" s="22" t="s">
        <v>124</v>
      </c>
      <c r="B65" s="5"/>
      <c r="C65" s="17" t="str">
        <f aca="false">IF(B65="","",IFERROR(INDEX(Members!$B$6:$B$45,MATCH(B65,Members!$A$6:$A$45,0)),"not found"))</f>
        <v/>
      </c>
      <c r="D65" s="14"/>
      <c r="E65" s="9"/>
      <c r="F65" s="19" t="str">
        <f aca="false">IF(E65="","",SUMIFS(Repayments!$K$6:$K$205,Repayments!$B$6:$B$205,A65))</f>
        <v/>
      </c>
      <c r="G65" s="19" t="str">
        <f aca="false">IF(E65="","",SUMIFS(Repayments!$J$6:$J$205,Repayments!$B$6:$B$205,A65))</f>
        <v/>
      </c>
      <c r="H65" s="18" t="str">
        <f aca="false">IF(E65="","",E65-F65)</f>
        <v/>
      </c>
      <c r="I65" s="19" t="str">
        <f aca="false">IF(E65="","",SUMIFS(Repayments!$H$6:$H$205,Repayments!$B$6:$B$205,A65)-G65)</f>
        <v/>
      </c>
      <c r="J65" s="13" t="str">
        <f aca="false">IF(E65="","",IF(H65&lt;=0.005,"Cleared","Open"))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4" min="3" style="0" width="13"/>
    <col collapsed="false" customWidth="true" hidden="false" outlineLevel="0" max="5" min="5" style="0" width="15"/>
    <col collapsed="false" customWidth="true" hidden="false" outlineLevel="0" max="6" min="6" style="0" width="8"/>
    <col collapsed="false" customWidth="true" hidden="false" outlineLevel="0" max="9" min="7" style="0" width="14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3" min="12" style="0" width="14"/>
  </cols>
  <sheetData>
    <row r="1" customFormat="false" ht="19.7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126</v>
      </c>
    </row>
    <row r="3" customFormat="false" ht="15" hidden="false" customHeight="false" outlineLevel="0" collapsed="false">
      <c r="A3" s="21" t="s">
        <v>127</v>
      </c>
    </row>
    <row r="5" customFormat="false" ht="31.5" hidden="false" customHeight="true" outlineLevel="0" collapsed="false">
      <c r="A5" s="12" t="s">
        <v>128</v>
      </c>
      <c r="B5" s="12" t="s">
        <v>55</v>
      </c>
      <c r="C5" s="12" t="s">
        <v>129</v>
      </c>
      <c r="D5" s="12" t="s">
        <v>58</v>
      </c>
      <c r="E5" s="12" t="s">
        <v>130</v>
      </c>
      <c r="F5" s="12" t="s">
        <v>131</v>
      </c>
      <c r="G5" s="12" t="s">
        <v>132</v>
      </c>
      <c r="H5" s="12" t="s">
        <v>133</v>
      </c>
      <c r="I5" s="12" t="s">
        <v>134</v>
      </c>
      <c r="J5" s="12" t="s">
        <v>61</v>
      </c>
      <c r="K5" s="12" t="s">
        <v>135</v>
      </c>
      <c r="L5" s="12" t="s">
        <v>136</v>
      </c>
      <c r="M5" s="12" t="s">
        <v>137</v>
      </c>
    </row>
    <row r="6" customFormat="false" ht="15" hidden="false" customHeight="false" outlineLevel="0" collapsed="false">
      <c r="A6" s="14" t="n">
        <v>46068</v>
      </c>
      <c r="B6" s="5" t="s">
        <v>65</v>
      </c>
      <c r="C6" s="9" t="n">
        <v>30</v>
      </c>
      <c r="D6" s="24" t="n">
        <f aca="false">IF($B6="","",IFERROR(INDEX(Loans!$D$6:$D$65,MATCH($B6,Loans!$A$6:$A$65,0)),""))</f>
        <v>46037</v>
      </c>
      <c r="E6" s="24" t="n">
        <f aca="false">IF($B6="","",IF(COUNTIFS($B$5:$B5,$B6)=0,D6,_xlfn.MAXIFS($A$5:$A5,$B$5:$B5,$B6)))</f>
        <v>46037</v>
      </c>
      <c r="F6" s="25" t="n">
        <f aca="false">IF(OR($B6="",A6=""),"",MAX(0,A6-E6))</f>
        <v>31</v>
      </c>
      <c r="G6" s="19" t="n">
        <f aca="false">IF($B6="","",IFERROR(INDEX(Loans!$E$6:$E$65,MATCH($B6,Loans!$A$6:$A$65,0)),0)-SUMIFS($K$5:$K5,$B$5:$B5,$B6))</f>
        <v>100</v>
      </c>
      <c r="H6" s="19" t="n">
        <f aca="false">IF(OR($B6="",F6=""),"",ROUND(G6*Start!$B$7*F6/Start!$B$8,2))</f>
        <v>5.17</v>
      </c>
      <c r="I6" s="19" t="n">
        <f aca="false">IF($B6="","",SUMIFS($H$5:$H5,$B$5:$B5,$B6)-SUMIFS($J$5:$J5,$B$5:$B5,$B6))</f>
        <v>0</v>
      </c>
      <c r="J6" s="19" t="n">
        <f aca="false">IF(OR($B6="",H6=""),"",MIN(C6,H6+I6))</f>
        <v>5.17</v>
      </c>
      <c r="K6" s="18" t="n">
        <f aca="false">IF(OR($B6="",J6=""),"",MAX(0,MIN(C6-J6,G6)))</f>
        <v>24.83</v>
      </c>
      <c r="L6" s="18" t="n">
        <f aca="false">IF(OR($B6="",K6=""),"",G6-K6)</f>
        <v>75.17</v>
      </c>
      <c r="M6" s="19" t="n">
        <f aca="false">IF(OR($B6="",J6=""),"",H6+I6-J6)</f>
        <v>0</v>
      </c>
      <c r="O6" s="23" t="s">
        <v>33</v>
      </c>
    </row>
    <row r="7" customFormat="false" ht="15" hidden="false" customHeight="false" outlineLevel="0" collapsed="false">
      <c r="A7" s="14"/>
      <c r="B7" s="5"/>
      <c r="C7" s="9"/>
      <c r="D7" s="24" t="str">
        <f aca="false">IF($B7="","",IFERROR(INDEX(Loans!$D$6:$D$65,MATCH($B7,Loans!$A$6:$A$65,0)),""))</f>
        <v/>
      </c>
      <c r="E7" s="24" t="str">
        <f aca="false">IF($B7="","",IF(COUNTIFS($B$5:$B6,$B7)=0,D7,_xlfn.MAXIFS($A$5:$A6,$B$5:$B6,$B7)))</f>
        <v/>
      </c>
      <c r="F7" s="25" t="str">
        <f aca="false">IF(OR($B7="",A7=""),"",MAX(0,A7-E7))</f>
        <v/>
      </c>
      <c r="G7" s="19" t="str">
        <f aca="false">IF($B7="","",IFERROR(INDEX(Loans!$E$6:$E$65,MATCH($B7,Loans!$A$6:$A$65,0)),0)-SUMIFS($K$5:$K6,$B$5:$B6,$B7))</f>
        <v/>
      </c>
      <c r="H7" s="19" t="str">
        <f aca="false">IF(OR($B7="",F7=""),"",ROUND(G7*Start!$B$7*F7/Start!$B$8,2))</f>
        <v/>
      </c>
      <c r="I7" s="19" t="str">
        <f aca="false">IF($B7="","",SUMIFS($H$5:$H6,$B$5:$B6,$B7)-SUMIFS($J$5:$J6,$B$5:$B6,$B7))</f>
        <v/>
      </c>
      <c r="J7" s="19" t="str">
        <f aca="false">IF(OR($B7="",H7=""),"",MIN(C7,H7+I7))</f>
        <v/>
      </c>
      <c r="K7" s="18" t="str">
        <f aca="false">IF(OR($B7="",J7=""),"",MAX(0,MIN(C7-J7,G7)))</f>
        <v/>
      </c>
      <c r="L7" s="18" t="str">
        <f aca="false">IF(OR($B7="",K7=""),"",G7-K7)</f>
        <v/>
      </c>
      <c r="M7" s="19" t="str">
        <f aca="false">IF(OR($B7="",J7=""),"",H7+I7-J7)</f>
        <v/>
      </c>
    </row>
    <row r="8" customFormat="false" ht="15" hidden="false" customHeight="false" outlineLevel="0" collapsed="false">
      <c r="A8" s="14"/>
      <c r="B8" s="5"/>
      <c r="C8" s="9"/>
      <c r="D8" s="24" t="str">
        <f aca="false">IF($B8="","",IFERROR(INDEX(Loans!$D$6:$D$65,MATCH($B8,Loans!$A$6:$A$65,0)),""))</f>
        <v/>
      </c>
      <c r="E8" s="24" t="str">
        <f aca="false">IF($B8="","",IF(COUNTIFS($B$5:$B7,$B8)=0,D8,_xlfn.MAXIFS($A$5:$A7,$B$5:$B7,$B8)))</f>
        <v/>
      </c>
      <c r="F8" s="25" t="str">
        <f aca="false">IF(OR($B8="",A8=""),"",MAX(0,A8-E8))</f>
        <v/>
      </c>
      <c r="G8" s="19" t="str">
        <f aca="false">IF($B8="","",IFERROR(INDEX(Loans!$E$6:$E$65,MATCH($B8,Loans!$A$6:$A$65,0)),0)-SUMIFS($K$5:$K7,$B$5:$B7,$B8))</f>
        <v/>
      </c>
      <c r="H8" s="19" t="str">
        <f aca="false">IF(OR($B8="",F8=""),"",ROUND(G8*Start!$B$7*F8/Start!$B$8,2))</f>
        <v/>
      </c>
      <c r="I8" s="19" t="str">
        <f aca="false">IF($B8="","",SUMIFS($H$5:$H7,$B$5:$B7,$B8)-SUMIFS($J$5:$J7,$B$5:$B7,$B8))</f>
        <v/>
      </c>
      <c r="J8" s="19" t="str">
        <f aca="false">IF(OR($B8="",H8=""),"",MIN(C8,H8+I8))</f>
        <v/>
      </c>
      <c r="K8" s="18" t="str">
        <f aca="false">IF(OR($B8="",J8=""),"",MAX(0,MIN(C8-J8,G8)))</f>
        <v/>
      </c>
      <c r="L8" s="18" t="str">
        <f aca="false">IF(OR($B8="",K8=""),"",G8-K8)</f>
        <v/>
      </c>
      <c r="M8" s="19" t="str">
        <f aca="false">IF(OR($B8="",J8=""),"",H8+I8-J8)</f>
        <v/>
      </c>
    </row>
    <row r="9" customFormat="false" ht="15" hidden="false" customHeight="false" outlineLevel="0" collapsed="false">
      <c r="A9" s="14"/>
      <c r="B9" s="5"/>
      <c r="C9" s="9"/>
      <c r="D9" s="24" t="str">
        <f aca="false">IF($B9="","",IFERROR(INDEX(Loans!$D$6:$D$65,MATCH($B9,Loans!$A$6:$A$65,0)),""))</f>
        <v/>
      </c>
      <c r="E9" s="24" t="str">
        <f aca="false">IF($B9="","",IF(COUNTIFS($B$5:$B8,$B9)=0,D9,_xlfn.MAXIFS($A$5:$A8,$B$5:$B8,$B9)))</f>
        <v/>
      </c>
      <c r="F9" s="25" t="str">
        <f aca="false">IF(OR($B9="",A9=""),"",MAX(0,A9-E9))</f>
        <v/>
      </c>
      <c r="G9" s="19" t="str">
        <f aca="false">IF($B9="","",IFERROR(INDEX(Loans!$E$6:$E$65,MATCH($B9,Loans!$A$6:$A$65,0)),0)-SUMIFS($K$5:$K8,$B$5:$B8,$B9))</f>
        <v/>
      </c>
      <c r="H9" s="19" t="str">
        <f aca="false">IF(OR($B9="",F9=""),"",ROUND(G9*Start!$B$7*F9/Start!$B$8,2))</f>
        <v/>
      </c>
      <c r="I9" s="19" t="str">
        <f aca="false">IF($B9="","",SUMIFS($H$5:$H8,$B$5:$B8,$B9)-SUMIFS($J$5:$J8,$B$5:$B8,$B9))</f>
        <v/>
      </c>
      <c r="J9" s="19" t="str">
        <f aca="false">IF(OR($B9="",H9=""),"",MIN(C9,H9+I9))</f>
        <v/>
      </c>
      <c r="K9" s="18" t="str">
        <f aca="false">IF(OR($B9="",J9=""),"",MAX(0,MIN(C9-J9,G9)))</f>
        <v/>
      </c>
      <c r="L9" s="18" t="str">
        <f aca="false">IF(OR($B9="",K9=""),"",G9-K9)</f>
        <v/>
      </c>
      <c r="M9" s="19" t="str">
        <f aca="false">IF(OR($B9="",J9=""),"",H9+I9-J9)</f>
        <v/>
      </c>
    </row>
    <row r="10" customFormat="false" ht="15" hidden="false" customHeight="false" outlineLevel="0" collapsed="false">
      <c r="A10" s="14"/>
      <c r="B10" s="5"/>
      <c r="C10" s="9"/>
      <c r="D10" s="24" t="str">
        <f aca="false">IF($B10="","",IFERROR(INDEX(Loans!$D$6:$D$65,MATCH($B10,Loans!$A$6:$A$65,0)),""))</f>
        <v/>
      </c>
      <c r="E10" s="24" t="str">
        <f aca="false">IF($B10="","",IF(COUNTIFS($B$5:$B9,$B10)=0,D10,_xlfn.MAXIFS($A$5:$A9,$B$5:$B9,$B10)))</f>
        <v/>
      </c>
      <c r="F10" s="25" t="str">
        <f aca="false">IF(OR($B10="",A10=""),"",MAX(0,A10-E10))</f>
        <v/>
      </c>
      <c r="G10" s="19" t="str">
        <f aca="false">IF($B10="","",IFERROR(INDEX(Loans!$E$6:$E$65,MATCH($B10,Loans!$A$6:$A$65,0)),0)-SUMIFS($K$5:$K9,$B$5:$B9,$B10))</f>
        <v/>
      </c>
      <c r="H10" s="19" t="str">
        <f aca="false">IF(OR($B10="",F10=""),"",ROUND(G10*Start!$B$7*F10/Start!$B$8,2))</f>
        <v/>
      </c>
      <c r="I10" s="19" t="str">
        <f aca="false">IF($B10="","",SUMIFS($H$5:$H9,$B$5:$B9,$B10)-SUMIFS($J$5:$J9,$B$5:$B9,$B10))</f>
        <v/>
      </c>
      <c r="J10" s="19" t="str">
        <f aca="false">IF(OR($B10="",H10=""),"",MIN(C10,H10+I10))</f>
        <v/>
      </c>
      <c r="K10" s="18" t="str">
        <f aca="false">IF(OR($B10="",J10=""),"",MAX(0,MIN(C10-J10,G10)))</f>
        <v/>
      </c>
      <c r="L10" s="18" t="str">
        <f aca="false">IF(OR($B10="",K10=""),"",G10-K10)</f>
        <v/>
      </c>
      <c r="M10" s="19" t="str">
        <f aca="false">IF(OR($B10="",J10=""),"",H10+I10-J10)</f>
        <v/>
      </c>
    </row>
    <row r="11" customFormat="false" ht="15" hidden="false" customHeight="false" outlineLevel="0" collapsed="false">
      <c r="A11" s="14"/>
      <c r="B11" s="5"/>
      <c r="C11" s="9"/>
      <c r="D11" s="24" t="str">
        <f aca="false">IF($B11="","",IFERROR(INDEX(Loans!$D$6:$D$65,MATCH($B11,Loans!$A$6:$A$65,0)),""))</f>
        <v/>
      </c>
      <c r="E11" s="24" t="str">
        <f aca="false">IF($B11="","",IF(COUNTIFS($B$5:$B10,$B11)=0,D11,_xlfn.MAXIFS($A$5:$A10,$B$5:$B10,$B11)))</f>
        <v/>
      </c>
      <c r="F11" s="25" t="str">
        <f aca="false">IF(OR($B11="",A11=""),"",MAX(0,A11-E11))</f>
        <v/>
      </c>
      <c r="G11" s="19" t="str">
        <f aca="false">IF($B11="","",IFERROR(INDEX(Loans!$E$6:$E$65,MATCH($B11,Loans!$A$6:$A$65,0)),0)-SUMIFS($K$5:$K10,$B$5:$B10,$B11))</f>
        <v/>
      </c>
      <c r="H11" s="19" t="str">
        <f aca="false">IF(OR($B11="",F11=""),"",ROUND(G11*Start!$B$7*F11/Start!$B$8,2))</f>
        <v/>
      </c>
      <c r="I11" s="19" t="str">
        <f aca="false">IF($B11="","",SUMIFS($H$5:$H10,$B$5:$B10,$B11)-SUMIFS($J$5:$J10,$B$5:$B10,$B11))</f>
        <v/>
      </c>
      <c r="J11" s="19" t="str">
        <f aca="false">IF(OR($B11="",H11=""),"",MIN(C11,H11+I11))</f>
        <v/>
      </c>
      <c r="K11" s="18" t="str">
        <f aca="false">IF(OR($B11="",J11=""),"",MAX(0,MIN(C11-J11,G11)))</f>
        <v/>
      </c>
      <c r="L11" s="18" t="str">
        <f aca="false">IF(OR($B11="",K11=""),"",G11-K11)</f>
        <v/>
      </c>
      <c r="M11" s="19" t="str">
        <f aca="false">IF(OR($B11="",J11=""),"",H11+I11-J11)</f>
        <v/>
      </c>
    </row>
    <row r="12" customFormat="false" ht="15" hidden="false" customHeight="false" outlineLevel="0" collapsed="false">
      <c r="A12" s="14"/>
      <c r="B12" s="5"/>
      <c r="C12" s="9"/>
      <c r="D12" s="24" t="str">
        <f aca="false">IF($B12="","",IFERROR(INDEX(Loans!$D$6:$D$65,MATCH($B12,Loans!$A$6:$A$65,0)),""))</f>
        <v/>
      </c>
      <c r="E12" s="24" t="str">
        <f aca="false">IF($B12="","",IF(COUNTIFS($B$5:$B11,$B12)=0,D12,_xlfn.MAXIFS($A$5:$A11,$B$5:$B11,$B12)))</f>
        <v/>
      </c>
      <c r="F12" s="25" t="str">
        <f aca="false">IF(OR($B12="",A12=""),"",MAX(0,A12-E12))</f>
        <v/>
      </c>
      <c r="G12" s="19" t="str">
        <f aca="false">IF($B12="","",IFERROR(INDEX(Loans!$E$6:$E$65,MATCH($B12,Loans!$A$6:$A$65,0)),0)-SUMIFS($K$5:$K11,$B$5:$B11,$B12))</f>
        <v/>
      </c>
      <c r="H12" s="19" t="str">
        <f aca="false">IF(OR($B12="",F12=""),"",ROUND(G12*Start!$B$7*F12/Start!$B$8,2))</f>
        <v/>
      </c>
      <c r="I12" s="19" t="str">
        <f aca="false">IF($B12="","",SUMIFS($H$5:$H11,$B$5:$B11,$B12)-SUMIFS($J$5:$J11,$B$5:$B11,$B12))</f>
        <v/>
      </c>
      <c r="J12" s="19" t="str">
        <f aca="false">IF(OR($B12="",H12=""),"",MIN(C12,H12+I12))</f>
        <v/>
      </c>
      <c r="K12" s="18" t="str">
        <f aca="false">IF(OR($B12="",J12=""),"",MAX(0,MIN(C12-J12,G12)))</f>
        <v/>
      </c>
      <c r="L12" s="18" t="str">
        <f aca="false">IF(OR($B12="",K12=""),"",G12-K12)</f>
        <v/>
      </c>
      <c r="M12" s="19" t="str">
        <f aca="false">IF(OR($B12="",J12=""),"",H12+I12-J12)</f>
        <v/>
      </c>
    </row>
    <row r="13" customFormat="false" ht="15" hidden="false" customHeight="false" outlineLevel="0" collapsed="false">
      <c r="A13" s="14"/>
      <c r="B13" s="5"/>
      <c r="C13" s="9"/>
      <c r="D13" s="24" t="str">
        <f aca="false">IF($B13="","",IFERROR(INDEX(Loans!$D$6:$D$65,MATCH($B13,Loans!$A$6:$A$65,0)),""))</f>
        <v/>
      </c>
      <c r="E13" s="24" t="str">
        <f aca="false">IF($B13="","",IF(COUNTIFS($B$5:$B12,$B13)=0,D13,_xlfn.MAXIFS($A$5:$A12,$B$5:$B12,$B13)))</f>
        <v/>
      </c>
      <c r="F13" s="25" t="str">
        <f aca="false">IF(OR($B13="",A13=""),"",MAX(0,A13-E13))</f>
        <v/>
      </c>
      <c r="G13" s="19" t="str">
        <f aca="false">IF($B13="","",IFERROR(INDEX(Loans!$E$6:$E$65,MATCH($B13,Loans!$A$6:$A$65,0)),0)-SUMIFS($K$5:$K12,$B$5:$B12,$B13))</f>
        <v/>
      </c>
      <c r="H13" s="19" t="str">
        <f aca="false">IF(OR($B13="",F13=""),"",ROUND(G13*Start!$B$7*F13/Start!$B$8,2))</f>
        <v/>
      </c>
      <c r="I13" s="19" t="str">
        <f aca="false">IF($B13="","",SUMIFS($H$5:$H12,$B$5:$B12,$B13)-SUMIFS($J$5:$J12,$B$5:$B12,$B13))</f>
        <v/>
      </c>
      <c r="J13" s="19" t="str">
        <f aca="false">IF(OR($B13="",H13=""),"",MIN(C13,H13+I13))</f>
        <v/>
      </c>
      <c r="K13" s="18" t="str">
        <f aca="false">IF(OR($B13="",J13=""),"",MAX(0,MIN(C13-J13,G13)))</f>
        <v/>
      </c>
      <c r="L13" s="18" t="str">
        <f aca="false">IF(OR($B13="",K13=""),"",G13-K13)</f>
        <v/>
      </c>
      <c r="M13" s="19" t="str">
        <f aca="false">IF(OR($B13="",J13=""),"",H13+I13-J13)</f>
        <v/>
      </c>
    </row>
    <row r="14" customFormat="false" ht="15" hidden="false" customHeight="false" outlineLevel="0" collapsed="false">
      <c r="A14" s="14"/>
      <c r="B14" s="5"/>
      <c r="C14" s="9"/>
      <c r="D14" s="24" t="str">
        <f aca="false">IF($B14="","",IFERROR(INDEX(Loans!$D$6:$D$65,MATCH($B14,Loans!$A$6:$A$65,0)),""))</f>
        <v/>
      </c>
      <c r="E14" s="24" t="str">
        <f aca="false">IF($B14="","",IF(COUNTIFS($B$5:$B13,$B14)=0,D14,_xlfn.MAXIFS($A$5:$A13,$B$5:$B13,$B14)))</f>
        <v/>
      </c>
      <c r="F14" s="25" t="str">
        <f aca="false">IF(OR($B14="",A14=""),"",MAX(0,A14-E14))</f>
        <v/>
      </c>
      <c r="G14" s="19" t="str">
        <f aca="false">IF($B14="","",IFERROR(INDEX(Loans!$E$6:$E$65,MATCH($B14,Loans!$A$6:$A$65,0)),0)-SUMIFS($K$5:$K13,$B$5:$B13,$B14))</f>
        <v/>
      </c>
      <c r="H14" s="19" t="str">
        <f aca="false">IF(OR($B14="",F14=""),"",ROUND(G14*Start!$B$7*F14/Start!$B$8,2))</f>
        <v/>
      </c>
      <c r="I14" s="19" t="str">
        <f aca="false">IF($B14="","",SUMIFS($H$5:$H13,$B$5:$B13,$B14)-SUMIFS($J$5:$J13,$B$5:$B13,$B14))</f>
        <v/>
      </c>
      <c r="J14" s="19" t="str">
        <f aca="false">IF(OR($B14="",H14=""),"",MIN(C14,H14+I14))</f>
        <v/>
      </c>
      <c r="K14" s="18" t="str">
        <f aca="false">IF(OR($B14="",J14=""),"",MAX(0,MIN(C14-J14,G14)))</f>
        <v/>
      </c>
      <c r="L14" s="18" t="str">
        <f aca="false">IF(OR($B14="",K14=""),"",G14-K14)</f>
        <v/>
      </c>
      <c r="M14" s="19" t="str">
        <f aca="false">IF(OR($B14="",J14=""),"",H14+I14-J14)</f>
        <v/>
      </c>
    </row>
    <row r="15" customFormat="false" ht="15" hidden="false" customHeight="false" outlineLevel="0" collapsed="false">
      <c r="A15" s="14"/>
      <c r="B15" s="5"/>
      <c r="C15" s="9"/>
      <c r="D15" s="24" t="str">
        <f aca="false">IF($B15="","",IFERROR(INDEX(Loans!$D$6:$D$65,MATCH($B15,Loans!$A$6:$A$65,0)),""))</f>
        <v/>
      </c>
      <c r="E15" s="24" t="str">
        <f aca="false">IF($B15="","",IF(COUNTIFS($B$5:$B14,$B15)=0,D15,_xlfn.MAXIFS($A$5:$A14,$B$5:$B14,$B15)))</f>
        <v/>
      </c>
      <c r="F15" s="25" t="str">
        <f aca="false">IF(OR($B15="",A15=""),"",MAX(0,A15-E15))</f>
        <v/>
      </c>
      <c r="G15" s="19" t="str">
        <f aca="false">IF($B15="","",IFERROR(INDEX(Loans!$E$6:$E$65,MATCH($B15,Loans!$A$6:$A$65,0)),0)-SUMIFS($K$5:$K14,$B$5:$B14,$B15))</f>
        <v/>
      </c>
      <c r="H15" s="19" t="str">
        <f aca="false">IF(OR($B15="",F15=""),"",ROUND(G15*Start!$B$7*F15/Start!$B$8,2))</f>
        <v/>
      </c>
      <c r="I15" s="19" t="str">
        <f aca="false">IF($B15="","",SUMIFS($H$5:$H14,$B$5:$B14,$B15)-SUMIFS($J$5:$J14,$B$5:$B14,$B15))</f>
        <v/>
      </c>
      <c r="J15" s="19" t="str">
        <f aca="false">IF(OR($B15="",H15=""),"",MIN(C15,H15+I15))</f>
        <v/>
      </c>
      <c r="K15" s="18" t="str">
        <f aca="false">IF(OR($B15="",J15=""),"",MAX(0,MIN(C15-J15,G15)))</f>
        <v/>
      </c>
      <c r="L15" s="18" t="str">
        <f aca="false">IF(OR($B15="",K15=""),"",G15-K15)</f>
        <v/>
      </c>
      <c r="M15" s="19" t="str">
        <f aca="false">IF(OR($B15="",J15=""),"",H15+I15-J15)</f>
        <v/>
      </c>
    </row>
    <row r="16" customFormat="false" ht="15" hidden="false" customHeight="false" outlineLevel="0" collapsed="false">
      <c r="A16" s="14"/>
      <c r="B16" s="5"/>
      <c r="C16" s="9"/>
      <c r="D16" s="24" t="str">
        <f aca="false">IF($B16="","",IFERROR(INDEX(Loans!$D$6:$D$65,MATCH($B16,Loans!$A$6:$A$65,0)),""))</f>
        <v/>
      </c>
      <c r="E16" s="24" t="str">
        <f aca="false">IF($B16="","",IF(COUNTIFS($B$5:$B15,$B16)=0,D16,_xlfn.MAXIFS($A$5:$A15,$B$5:$B15,$B16)))</f>
        <v/>
      </c>
      <c r="F16" s="25" t="str">
        <f aca="false">IF(OR($B16="",A16=""),"",MAX(0,A16-E16))</f>
        <v/>
      </c>
      <c r="G16" s="19" t="str">
        <f aca="false">IF($B16="","",IFERROR(INDEX(Loans!$E$6:$E$65,MATCH($B16,Loans!$A$6:$A$65,0)),0)-SUMIFS($K$5:$K15,$B$5:$B15,$B16))</f>
        <v/>
      </c>
      <c r="H16" s="19" t="str">
        <f aca="false">IF(OR($B16="",F16=""),"",ROUND(G16*Start!$B$7*F16/Start!$B$8,2))</f>
        <v/>
      </c>
      <c r="I16" s="19" t="str">
        <f aca="false">IF($B16="","",SUMIFS($H$5:$H15,$B$5:$B15,$B16)-SUMIFS($J$5:$J15,$B$5:$B15,$B16))</f>
        <v/>
      </c>
      <c r="J16" s="19" t="str">
        <f aca="false">IF(OR($B16="",H16=""),"",MIN(C16,H16+I16))</f>
        <v/>
      </c>
      <c r="K16" s="18" t="str">
        <f aca="false">IF(OR($B16="",J16=""),"",MAX(0,MIN(C16-J16,G16)))</f>
        <v/>
      </c>
      <c r="L16" s="18" t="str">
        <f aca="false">IF(OR($B16="",K16=""),"",G16-K16)</f>
        <v/>
      </c>
      <c r="M16" s="19" t="str">
        <f aca="false">IF(OR($B16="",J16=""),"",H16+I16-J16)</f>
        <v/>
      </c>
    </row>
    <row r="17" customFormat="false" ht="15" hidden="false" customHeight="false" outlineLevel="0" collapsed="false">
      <c r="A17" s="14"/>
      <c r="B17" s="5"/>
      <c r="C17" s="9"/>
      <c r="D17" s="24" t="str">
        <f aca="false">IF($B17="","",IFERROR(INDEX(Loans!$D$6:$D$65,MATCH($B17,Loans!$A$6:$A$65,0)),""))</f>
        <v/>
      </c>
      <c r="E17" s="24" t="str">
        <f aca="false">IF($B17="","",IF(COUNTIFS($B$5:$B16,$B17)=0,D17,_xlfn.MAXIFS($A$5:$A16,$B$5:$B16,$B17)))</f>
        <v/>
      </c>
      <c r="F17" s="25" t="str">
        <f aca="false">IF(OR($B17="",A17=""),"",MAX(0,A17-E17))</f>
        <v/>
      </c>
      <c r="G17" s="19" t="str">
        <f aca="false">IF($B17="","",IFERROR(INDEX(Loans!$E$6:$E$65,MATCH($B17,Loans!$A$6:$A$65,0)),0)-SUMIFS($K$5:$K16,$B$5:$B16,$B17))</f>
        <v/>
      </c>
      <c r="H17" s="19" t="str">
        <f aca="false">IF(OR($B17="",F17=""),"",ROUND(G17*Start!$B$7*F17/Start!$B$8,2))</f>
        <v/>
      </c>
      <c r="I17" s="19" t="str">
        <f aca="false">IF($B17="","",SUMIFS($H$5:$H16,$B$5:$B16,$B17)-SUMIFS($J$5:$J16,$B$5:$B16,$B17))</f>
        <v/>
      </c>
      <c r="J17" s="19" t="str">
        <f aca="false">IF(OR($B17="",H17=""),"",MIN(C17,H17+I17))</f>
        <v/>
      </c>
      <c r="K17" s="18" t="str">
        <f aca="false">IF(OR($B17="",J17=""),"",MAX(0,MIN(C17-J17,G17)))</f>
        <v/>
      </c>
      <c r="L17" s="18" t="str">
        <f aca="false">IF(OR($B17="",K17=""),"",G17-K17)</f>
        <v/>
      </c>
      <c r="M17" s="19" t="str">
        <f aca="false">IF(OR($B17="",J17=""),"",H17+I17-J17)</f>
        <v/>
      </c>
    </row>
    <row r="18" customFormat="false" ht="15" hidden="false" customHeight="false" outlineLevel="0" collapsed="false">
      <c r="A18" s="14"/>
      <c r="B18" s="5"/>
      <c r="C18" s="9"/>
      <c r="D18" s="24" t="str">
        <f aca="false">IF($B18="","",IFERROR(INDEX(Loans!$D$6:$D$65,MATCH($B18,Loans!$A$6:$A$65,0)),""))</f>
        <v/>
      </c>
      <c r="E18" s="24" t="str">
        <f aca="false">IF($B18="","",IF(COUNTIFS($B$5:$B17,$B18)=0,D18,_xlfn.MAXIFS($A$5:$A17,$B$5:$B17,$B18)))</f>
        <v/>
      </c>
      <c r="F18" s="25" t="str">
        <f aca="false">IF(OR($B18="",A18=""),"",MAX(0,A18-E18))</f>
        <v/>
      </c>
      <c r="G18" s="19" t="str">
        <f aca="false">IF($B18="","",IFERROR(INDEX(Loans!$E$6:$E$65,MATCH($B18,Loans!$A$6:$A$65,0)),0)-SUMIFS($K$5:$K17,$B$5:$B17,$B18))</f>
        <v/>
      </c>
      <c r="H18" s="19" t="str">
        <f aca="false">IF(OR($B18="",F18=""),"",ROUND(G18*Start!$B$7*F18/Start!$B$8,2))</f>
        <v/>
      </c>
      <c r="I18" s="19" t="str">
        <f aca="false">IF($B18="","",SUMIFS($H$5:$H17,$B$5:$B17,$B18)-SUMIFS($J$5:$J17,$B$5:$B17,$B18))</f>
        <v/>
      </c>
      <c r="J18" s="19" t="str">
        <f aca="false">IF(OR($B18="",H18=""),"",MIN(C18,H18+I18))</f>
        <v/>
      </c>
      <c r="K18" s="18" t="str">
        <f aca="false">IF(OR($B18="",J18=""),"",MAX(0,MIN(C18-J18,G18)))</f>
        <v/>
      </c>
      <c r="L18" s="18" t="str">
        <f aca="false">IF(OR($B18="",K18=""),"",G18-K18)</f>
        <v/>
      </c>
      <c r="M18" s="19" t="str">
        <f aca="false">IF(OR($B18="",J18=""),"",H18+I18-J18)</f>
        <v/>
      </c>
    </row>
    <row r="19" customFormat="false" ht="15" hidden="false" customHeight="false" outlineLevel="0" collapsed="false">
      <c r="A19" s="14"/>
      <c r="B19" s="5"/>
      <c r="C19" s="9"/>
      <c r="D19" s="24" t="str">
        <f aca="false">IF($B19="","",IFERROR(INDEX(Loans!$D$6:$D$65,MATCH($B19,Loans!$A$6:$A$65,0)),""))</f>
        <v/>
      </c>
      <c r="E19" s="24" t="str">
        <f aca="false">IF($B19="","",IF(COUNTIFS($B$5:$B18,$B19)=0,D19,_xlfn.MAXIFS($A$5:$A18,$B$5:$B18,$B19)))</f>
        <v/>
      </c>
      <c r="F19" s="25" t="str">
        <f aca="false">IF(OR($B19="",A19=""),"",MAX(0,A19-E19))</f>
        <v/>
      </c>
      <c r="G19" s="19" t="str">
        <f aca="false">IF($B19="","",IFERROR(INDEX(Loans!$E$6:$E$65,MATCH($B19,Loans!$A$6:$A$65,0)),0)-SUMIFS($K$5:$K18,$B$5:$B18,$B19))</f>
        <v/>
      </c>
      <c r="H19" s="19" t="str">
        <f aca="false">IF(OR($B19="",F19=""),"",ROUND(G19*Start!$B$7*F19/Start!$B$8,2))</f>
        <v/>
      </c>
      <c r="I19" s="19" t="str">
        <f aca="false">IF($B19="","",SUMIFS($H$5:$H18,$B$5:$B18,$B19)-SUMIFS($J$5:$J18,$B$5:$B18,$B19))</f>
        <v/>
      </c>
      <c r="J19" s="19" t="str">
        <f aca="false">IF(OR($B19="",H19=""),"",MIN(C19,H19+I19))</f>
        <v/>
      </c>
      <c r="K19" s="18" t="str">
        <f aca="false">IF(OR($B19="",J19=""),"",MAX(0,MIN(C19-J19,G19)))</f>
        <v/>
      </c>
      <c r="L19" s="18" t="str">
        <f aca="false">IF(OR($B19="",K19=""),"",G19-K19)</f>
        <v/>
      </c>
      <c r="M19" s="19" t="str">
        <f aca="false">IF(OR($B19="",J19=""),"",H19+I19-J19)</f>
        <v/>
      </c>
    </row>
    <row r="20" customFormat="false" ht="15" hidden="false" customHeight="false" outlineLevel="0" collapsed="false">
      <c r="A20" s="14"/>
      <c r="B20" s="5"/>
      <c r="C20" s="9"/>
      <c r="D20" s="24" t="str">
        <f aca="false">IF($B20="","",IFERROR(INDEX(Loans!$D$6:$D$65,MATCH($B20,Loans!$A$6:$A$65,0)),""))</f>
        <v/>
      </c>
      <c r="E20" s="24" t="str">
        <f aca="false">IF($B20="","",IF(COUNTIFS($B$5:$B19,$B20)=0,D20,_xlfn.MAXIFS($A$5:$A19,$B$5:$B19,$B20)))</f>
        <v/>
      </c>
      <c r="F20" s="25" t="str">
        <f aca="false">IF(OR($B20="",A20=""),"",MAX(0,A20-E20))</f>
        <v/>
      </c>
      <c r="G20" s="19" t="str">
        <f aca="false">IF($B20="","",IFERROR(INDEX(Loans!$E$6:$E$65,MATCH($B20,Loans!$A$6:$A$65,0)),0)-SUMIFS($K$5:$K19,$B$5:$B19,$B20))</f>
        <v/>
      </c>
      <c r="H20" s="19" t="str">
        <f aca="false">IF(OR($B20="",F20=""),"",ROUND(G20*Start!$B$7*F20/Start!$B$8,2))</f>
        <v/>
      </c>
      <c r="I20" s="19" t="str">
        <f aca="false">IF($B20="","",SUMIFS($H$5:$H19,$B$5:$B19,$B20)-SUMIFS($J$5:$J19,$B$5:$B19,$B20))</f>
        <v/>
      </c>
      <c r="J20" s="19" t="str">
        <f aca="false">IF(OR($B20="",H20=""),"",MIN(C20,H20+I20))</f>
        <v/>
      </c>
      <c r="K20" s="18" t="str">
        <f aca="false">IF(OR($B20="",J20=""),"",MAX(0,MIN(C20-J20,G20)))</f>
        <v/>
      </c>
      <c r="L20" s="18" t="str">
        <f aca="false">IF(OR($B20="",K20=""),"",G20-K20)</f>
        <v/>
      </c>
      <c r="M20" s="19" t="str">
        <f aca="false">IF(OR($B20="",J20=""),"",H20+I20-J20)</f>
        <v/>
      </c>
    </row>
    <row r="21" customFormat="false" ht="15" hidden="false" customHeight="false" outlineLevel="0" collapsed="false">
      <c r="A21" s="14"/>
      <c r="B21" s="5"/>
      <c r="C21" s="9"/>
      <c r="D21" s="24" t="str">
        <f aca="false">IF($B21="","",IFERROR(INDEX(Loans!$D$6:$D$65,MATCH($B21,Loans!$A$6:$A$65,0)),""))</f>
        <v/>
      </c>
      <c r="E21" s="24" t="str">
        <f aca="false">IF($B21="","",IF(COUNTIFS($B$5:$B20,$B21)=0,D21,_xlfn.MAXIFS($A$5:$A20,$B$5:$B20,$B21)))</f>
        <v/>
      </c>
      <c r="F21" s="25" t="str">
        <f aca="false">IF(OR($B21="",A21=""),"",MAX(0,A21-E21))</f>
        <v/>
      </c>
      <c r="G21" s="19" t="str">
        <f aca="false">IF($B21="","",IFERROR(INDEX(Loans!$E$6:$E$65,MATCH($B21,Loans!$A$6:$A$65,0)),0)-SUMIFS($K$5:$K20,$B$5:$B20,$B21))</f>
        <v/>
      </c>
      <c r="H21" s="19" t="str">
        <f aca="false">IF(OR($B21="",F21=""),"",ROUND(G21*Start!$B$7*F21/Start!$B$8,2))</f>
        <v/>
      </c>
      <c r="I21" s="19" t="str">
        <f aca="false">IF($B21="","",SUMIFS($H$5:$H20,$B$5:$B20,$B21)-SUMIFS($J$5:$J20,$B$5:$B20,$B21))</f>
        <v/>
      </c>
      <c r="J21" s="19" t="str">
        <f aca="false">IF(OR($B21="",H21=""),"",MIN(C21,H21+I21))</f>
        <v/>
      </c>
      <c r="K21" s="18" t="str">
        <f aca="false">IF(OR($B21="",J21=""),"",MAX(0,MIN(C21-J21,G21)))</f>
        <v/>
      </c>
      <c r="L21" s="18" t="str">
        <f aca="false">IF(OR($B21="",K21=""),"",G21-K21)</f>
        <v/>
      </c>
      <c r="M21" s="19" t="str">
        <f aca="false">IF(OR($B21="",J21=""),"",H21+I21-J21)</f>
        <v/>
      </c>
    </row>
    <row r="22" customFormat="false" ht="15" hidden="false" customHeight="false" outlineLevel="0" collapsed="false">
      <c r="A22" s="14"/>
      <c r="B22" s="5"/>
      <c r="C22" s="9"/>
      <c r="D22" s="24" t="str">
        <f aca="false">IF($B22="","",IFERROR(INDEX(Loans!$D$6:$D$65,MATCH($B22,Loans!$A$6:$A$65,0)),""))</f>
        <v/>
      </c>
      <c r="E22" s="24" t="str">
        <f aca="false">IF($B22="","",IF(COUNTIFS($B$5:$B21,$B22)=0,D22,_xlfn.MAXIFS($A$5:$A21,$B$5:$B21,$B22)))</f>
        <v/>
      </c>
      <c r="F22" s="25" t="str">
        <f aca="false">IF(OR($B22="",A22=""),"",MAX(0,A22-E22))</f>
        <v/>
      </c>
      <c r="G22" s="19" t="str">
        <f aca="false">IF($B22="","",IFERROR(INDEX(Loans!$E$6:$E$65,MATCH($B22,Loans!$A$6:$A$65,0)),0)-SUMIFS($K$5:$K21,$B$5:$B21,$B22))</f>
        <v/>
      </c>
      <c r="H22" s="19" t="str">
        <f aca="false">IF(OR($B22="",F22=""),"",ROUND(G22*Start!$B$7*F22/Start!$B$8,2))</f>
        <v/>
      </c>
      <c r="I22" s="19" t="str">
        <f aca="false">IF($B22="","",SUMIFS($H$5:$H21,$B$5:$B21,$B22)-SUMIFS($J$5:$J21,$B$5:$B21,$B22))</f>
        <v/>
      </c>
      <c r="J22" s="19" t="str">
        <f aca="false">IF(OR($B22="",H22=""),"",MIN(C22,H22+I22))</f>
        <v/>
      </c>
      <c r="K22" s="18" t="str">
        <f aca="false">IF(OR($B22="",J22=""),"",MAX(0,MIN(C22-J22,G22)))</f>
        <v/>
      </c>
      <c r="L22" s="18" t="str">
        <f aca="false">IF(OR($B22="",K22=""),"",G22-K22)</f>
        <v/>
      </c>
      <c r="M22" s="19" t="str">
        <f aca="false">IF(OR($B22="",J22=""),"",H22+I22-J22)</f>
        <v/>
      </c>
    </row>
    <row r="23" customFormat="false" ht="15" hidden="false" customHeight="false" outlineLevel="0" collapsed="false">
      <c r="A23" s="14"/>
      <c r="B23" s="5"/>
      <c r="C23" s="9"/>
      <c r="D23" s="24" t="str">
        <f aca="false">IF($B23="","",IFERROR(INDEX(Loans!$D$6:$D$65,MATCH($B23,Loans!$A$6:$A$65,0)),""))</f>
        <v/>
      </c>
      <c r="E23" s="24" t="str">
        <f aca="false">IF($B23="","",IF(COUNTIFS($B$5:$B22,$B23)=0,D23,_xlfn.MAXIFS($A$5:$A22,$B$5:$B22,$B23)))</f>
        <v/>
      </c>
      <c r="F23" s="25" t="str">
        <f aca="false">IF(OR($B23="",A23=""),"",MAX(0,A23-E23))</f>
        <v/>
      </c>
      <c r="G23" s="19" t="str">
        <f aca="false">IF($B23="","",IFERROR(INDEX(Loans!$E$6:$E$65,MATCH($B23,Loans!$A$6:$A$65,0)),0)-SUMIFS($K$5:$K22,$B$5:$B22,$B23))</f>
        <v/>
      </c>
      <c r="H23" s="19" t="str">
        <f aca="false">IF(OR($B23="",F23=""),"",ROUND(G23*Start!$B$7*F23/Start!$B$8,2))</f>
        <v/>
      </c>
      <c r="I23" s="19" t="str">
        <f aca="false">IF($B23="","",SUMIFS($H$5:$H22,$B$5:$B22,$B23)-SUMIFS($J$5:$J22,$B$5:$B22,$B23))</f>
        <v/>
      </c>
      <c r="J23" s="19" t="str">
        <f aca="false">IF(OR($B23="",H23=""),"",MIN(C23,H23+I23))</f>
        <v/>
      </c>
      <c r="K23" s="18" t="str">
        <f aca="false">IF(OR($B23="",J23=""),"",MAX(0,MIN(C23-J23,G23)))</f>
        <v/>
      </c>
      <c r="L23" s="18" t="str">
        <f aca="false">IF(OR($B23="",K23=""),"",G23-K23)</f>
        <v/>
      </c>
      <c r="M23" s="19" t="str">
        <f aca="false">IF(OR($B23="",J23=""),"",H23+I23-J23)</f>
        <v/>
      </c>
    </row>
    <row r="24" customFormat="false" ht="15" hidden="false" customHeight="false" outlineLevel="0" collapsed="false">
      <c r="A24" s="14"/>
      <c r="B24" s="5"/>
      <c r="C24" s="9"/>
      <c r="D24" s="24" t="str">
        <f aca="false">IF($B24="","",IFERROR(INDEX(Loans!$D$6:$D$65,MATCH($B24,Loans!$A$6:$A$65,0)),""))</f>
        <v/>
      </c>
      <c r="E24" s="24" t="str">
        <f aca="false">IF($B24="","",IF(COUNTIFS($B$5:$B23,$B24)=0,D24,_xlfn.MAXIFS($A$5:$A23,$B$5:$B23,$B24)))</f>
        <v/>
      </c>
      <c r="F24" s="25" t="str">
        <f aca="false">IF(OR($B24="",A24=""),"",MAX(0,A24-E24))</f>
        <v/>
      </c>
      <c r="G24" s="19" t="str">
        <f aca="false">IF($B24="","",IFERROR(INDEX(Loans!$E$6:$E$65,MATCH($B24,Loans!$A$6:$A$65,0)),0)-SUMIFS($K$5:$K23,$B$5:$B23,$B24))</f>
        <v/>
      </c>
      <c r="H24" s="19" t="str">
        <f aca="false">IF(OR($B24="",F24=""),"",ROUND(G24*Start!$B$7*F24/Start!$B$8,2))</f>
        <v/>
      </c>
      <c r="I24" s="19" t="str">
        <f aca="false">IF($B24="","",SUMIFS($H$5:$H23,$B$5:$B23,$B24)-SUMIFS($J$5:$J23,$B$5:$B23,$B24))</f>
        <v/>
      </c>
      <c r="J24" s="19" t="str">
        <f aca="false">IF(OR($B24="",H24=""),"",MIN(C24,H24+I24))</f>
        <v/>
      </c>
      <c r="K24" s="18" t="str">
        <f aca="false">IF(OR($B24="",J24=""),"",MAX(0,MIN(C24-J24,G24)))</f>
        <v/>
      </c>
      <c r="L24" s="18" t="str">
        <f aca="false">IF(OR($B24="",K24=""),"",G24-K24)</f>
        <v/>
      </c>
      <c r="M24" s="19" t="str">
        <f aca="false">IF(OR($B24="",J24=""),"",H24+I24-J24)</f>
        <v/>
      </c>
    </row>
    <row r="25" customFormat="false" ht="15" hidden="false" customHeight="false" outlineLevel="0" collapsed="false">
      <c r="A25" s="14"/>
      <c r="B25" s="5"/>
      <c r="C25" s="9"/>
      <c r="D25" s="24" t="str">
        <f aca="false">IF($B25="","",IFERROR(INDEX(Loans!$D$6:$D$65,MATCH($B25,Loans!$A$6:$A$65,0)),""))</f>
        <v/>
      </c>
      <c r="E25" s="24" t="str">
        <f aca="false">IF($B25="","",IF(COUNTIFS($B$5:$B24,$B25)=0,D25,_xlfn.MAXIFS($A$5:$A24,$B$5:$B24,$B25)))</f>
        <v/>
      </c>
      <c r="F25" s="25" t="str">
        <f aca="false">IF(OR($B25="",A25=""),"",MAX(0,A25-E25))</f>
        <v/>
      </c>
      <c r="G25" s="19" t="str">
        <f aca="false">IF($B25="","",IFERROR(INDEX(Loans!$E$6:$E$65,MATCH($B25,Loans!$A$6:$A$65,0)),0)-SUMIFS($K$5:$K24,$B$5:$B24,$B25))</f>
        <v/>
      </c>
      <c r="H25" s="19" t="str">
        <f aca="false">IF(OR($B25="",F25=""),"",ROUND(G25*Start!$B$7*F25/Start!$B$8,2))</f>
        <v/>
      </c>
      <c r="I25" s="19" t="str">
        <f aca="false">IF($B25="","",SUMIFS($H$5:$H24,$B$5:$B24,$B25)-SUMIFS($J$5:$J24,$B$5:$B24,$B25))</f>
        <v/>
      </c>
      <c r="J25" s="19" t="str">
        <f aca="false">IF(OR($B25="",H25=""),"",MIN(C25,H25+I25))</f>
        <v/>
      </c>
      <c r="K25" s="18" t="str">
        <f aca="false">IF(OR($B25="",J25=""),"",MAX(0,MIN(C25-J25,G25)))</f>
        <v/>
      </c>
      <c r="L25" s="18" t="str">
        <f aca="false">IF(OR($B25="",K25=""),"",G25-K25)</f>
        <v/>
      </c>
      <c r="M25" s="19" t="str">
        <f aca="false">IF(OR($B25="",J25=""),"",H25+I25-J25)</f>
        <v/>
      </c>
    </row>
    <row r="26" customFormat="false" ht="15" hidden="false" customHeight="false" outlineLevel="0" collapsed="false">
      <c r="A26" s="14"/>
      <c r="B26" s="5"/>
      <c r="C26" s="9"/>
      <c r="D26" s="24" t="str">
        <f aca="false">IF($B26="","",IFERROR(INDEX(Loans!$D$6:$D$65,MATCH($B26,Loans!$A$6:$A$65,0)),""))</f>
        <v/>
      </c>
      <c r="E26" s="24" t="str">
        <f aca="false">IF($B26="","",IF(COUNTIFS($B$5:$B25,$B26)=0,D26,_xlfn.MAXIFS($A$5:$A25,$B$5:$B25,$B26)))</f>
        <v/>
      </c>
      <c r="F26" s="25" t="str">
        <f aca="false">IF(OR($B26="",A26=""),"",MAX(0,A26-E26))</f>
        <v/>
      </c>
      <c r="G26" s="19" t="str">
        <f aca="false">IF($B26="","",IFERROR(INDEX(Loans!$E$6:$E$65,MATCH($B26,Loans!$A$6:$A$65,0)),0)-SUMIFS($K$5:$K25,$B$5:$B25,$B26))</f>
        <v/>
      </c>
      <c r="H26" s="19" t="str">
        <f aca="false">IF(OR($B26="",F26=""),"",ROUND(G26*Start!$B$7*F26/Start!$B$8,2))</f>
        <v/>
      </c>
      <c r="I26" s="19" t="str">
        <f aca="false">IF($B26="","",SUMIFS($H$5:$H25,$B$5:$B25,$B26)-SUMIFS($J$5:$J25,$B$5:$B25,$B26))</f>
        <v/>
      </c>
      <c r="J26" s="19" t="str">
        <f aca="false">IF(OR($B26="",H26=""),"",MIN(C26,H26+I26))</f>
        <v/>
      </c>
      <c r="K26" s="18" t="str">
        <f aca="false">IF(OR($B26="",J26=""),"",MAX(0,MIN(C26-J26,G26)))</f>
        <v/>
      </c>
      <c r="L26" s="18" t="str">
        <f aca="false">IF(OR($B26="",K26=""),"",G26-K26)</f>
        <v/>
      </c>
      <c r="M26" s="19" t="str">
        <f aca="false">IF(OR($B26="",J26=""),"",H26+I26-J26)</f>
        <v/>
      </c>
    </row>
    <row r="27" customFormat="false" ht="15" hidden="false" customHeight="false" outlineLevel="0" collapsed="false">
      <c r="A27" s="14"/>
      <c r="B27" s="5"/>
      <c r="C27" s="9"/>
      <c r="D27" s="24" t="str">
        <f aca="false">IF($B27="","",IFERROR(INDEX(Loans!$D$6:$D$65,MATCH($B27,Loans!$A$6:$A$65,0)),""))</f>
        <v/>
      </c>
      <c r="E27" s="24" t="str">
        <f aca="false">IF($B27="","",IF(COUNTIFS($B$5:$B26,$B27)=0,D27,_xlfn.MAXIFS($A$5:$A26,$B$5:$B26,$B27)))</f>
        <v/>
      </c>
      <c r="F27" s="25" t="str">
        <f aca="false">IF(OR($B27="",A27=""),"",MAX(0,A27-E27))</f>
        <v/>
      </c>
      <c r="G27" s="19" t="str">
        <f aca="false">IF($B27="","",IFERROR(INDEX(Loans!$E$6:$E$65,MATCH($B27,Loans!$A$6:$A$65,0)),0)-SUMIFS($K$5:$K26,$B$5:$B26,$B27))</f>
        <v/>
      </c>
      <c r="H27" s="19" t="str">
        <f aca="false">IF(OR($B27="",F27=""),"",ROUND(G27*Start!$B$7*F27/Start!$B$8,2))</f>
        <v/>
      </c>
      <c r="I27" s="19" t="str">
        <f aca="false">IF($B27="","",SUMIFS($H$5:$H26,$B$5:$B26,$B27)-SUMIFS($J$5:$J26,$B$5:$B26,$B27))</f>
        <v/>
      </c>
      <c r="J27" s="19" t="str">
        <f aca="false">IF(OR($B27="",H27=""),"",MIN(C27,H27+I27))</f>
        <v/>
      </c>
      <c r="K27" s="18" t="str">
        <f aca="false">IF(OR($B27="",J27=""),"",MAX(0,MIN(C27-J27,G27)))</f>
        <v/>
      </c>
      <c r="L27" s="18" t="str">
        <f aca="false">IF(OR($B27="",K27=""),"",G27-K27)</f>
        <v/>
      </c>
      <c r="M27" s="19" t="str">
        <f aca="false">IF(OR($B27="",J27=""),"",H27+I27-J27)</f>
        <v/>
      </c>
    </row>
    <row r="28" customFormat="false" ht="15" hidden="false" customHeight="false" outlineLevel="0" collapsed="false">
      <c r="A28" s="14"/>
      <c r="B28" s="5"/>
      <c r="C28" s="9"/>
      <c r="D28" s="24" t="str">
        <f aca="false">IF($B28="","",IFERROR(INDEX(Loans!$D$6:$D$65,MATCH($B28,Loans!$A$6:$A$65,0)),""))</f>
        <v/>
      </c>
      <c r="E28" s="24" t="str">
        <f aca="false">IF($B28="","",IF(COUNTIFS($B$5:$B27,$B28)=0,D28,_xlfn.MAXIFS($A$5:$A27,$B$5:$B27,$B28)))</f>
        <v/>
      </c>
      <c r="F28" s="25" t="str">
        <f aca="false">IF(OR($B28="",A28=""),"",MAX(0,A28-E28))</f>
        <v/>
      </c>
      <c r="G28" s="19" t="str">
        <f aca="false">IF($B28="","",IFERROR(INDEX(Loans!$E$6:$E$65,MATCH($B28,Loans!$A$6:$A$65,0)),0)-SUMIFS($K$5:$K27,$B$5:$B27,$B28))</f>
        <v/>
      </c>
      <c r="H28" s="19" t="str">
        <f aca="false">IF(OR($B28="",F28=""),"",ROUND(G28*Start!$B$7*F28/Start!$B$8,2))</f>
        <v/>
      </c>
      <c r="I28" s="19" t="str">
        <f aca="false">IF($B28="","",SUMIFS($H$5:$H27,$B$5:$B27,$B28)-SUMIFS($J$5:$J27,$B$5:$B27,$B28))</f>
        <v/>
      </c>
      <c r="J28" s="19" t="str">
        <f aca="false">IF(OR($B28="",H28=""),"",MIN(C28,H28+I28))</f>
        <v/>
      </c>
      <c r="K28" s="18" t="str">
        <f aca="false">IF(OR($B28="",J28=""),"",MAX(0,MIN(C28-J28,G28)))</f>
        <v/>
      </c>
      <c r="L28" s="18" t="str">
        <f aca="false">IF(OR($B28="",K28=""),"",G28-K28)</f>
        <v/>
      </c>
      <c r="M28" s="19" t="str">
        <f aca="false">IF(OR($B28="",J28=""),"",H28+I28-J28)</f>
        <v/>
      </c>
    </row>
    <row r="29" customFormat="false" ht="15" hidden="false" customHeight="false" outlineLevel="0" collapsed="false">
      <c r="A29" s="14"/>
      <c r="B29" s="5"/>
      <c r="C29" s="9"/>
      <c r="D29" s="24" t="str">
        <f aca="false">IF($B29="","",IFERROR(INDEX(Loans!$D$6:$D$65,MATCH($B29,Loans!$A$6:$A$65,0)),""))</f>
        <v/>
      </c>
      <c r="E29" s="24" t="str">
        <f aca="false">IF($B29="","",IF(COUNTIFS($B$5:$B28,$B29)=0,D29,_xlfn.MAXIFS($A$5:$A28,$B$5:$B28,$B29)))</f>
        <v/>
      </c>
      <c r="F29" s="25" t="str">
        <f aca="false">IF(OR($B29="",A29=""),"",MAX(0,A29-E29))</f>
        <v/>
      </c>
      <c r="G29" s="19" t="str">
        <f aca="false">IF($B29="","",IFERROR(INDEX(Loans!$E$6:$E$65,MATCH($B29,Loans!$A$6:$A$65,0)),0)-SUMIFS($K$5:$K28,$B$5:$B28,$B29))</f>
        <v/>
      </c>
      <c r="H29" s="19" t="str">
        <f aca="false">IF(OR($B29="",F29=""),"",ROUND(G29*Start!$B$7*F29/Start!$B$8,2))</f>
        <v/>
      </c>
      <c r="I29" s="19" t="str">
        <f aca="false">IF($B29="","",SUMIFS($H$5:$H28,$B$5:$B28,$B29)-SUMIFS($J$5:$J28,$B$5:$B28,$B29))</f>
        <v/>
      </c>
      <c r="J29" s="19" t="str">
        <f aca="false">IF(OR($B29="",H29=""),"",MIN(C29,H29+I29))</f>
        <v/>
      </c>
      <c r="K29" s="18" t="str">
        <f aca="false">IF(OR($B29="",J29=""),"",MAX(0,MIN(C29-J29,G29)))</f>
        <v/>
      </c>
      <c r="L29" s="18" t="str">
        <f aca="false">IF(OR($B29="",K29=""),"",G29-K29)</f>
        <v/>
      </c>
      <c r="M29" s="19" t="str">
        <f aca="false">IF(OR($B29="",J29=""),"",H29+I29-J29)</f>
        <v/>
      </c>
    </row>
    <row r="30" customFormat="false" ht="15" hidden="false" customHeight="false" outlineLevel="0" collapsed="false">
      <c r="A30" s="14"/>
      <c r="B30" s="5"/>
      <c r="C30" s="9"/>
      <c r="D30" s="24" t="str">
        <f aca="false">IF($B30="","",IFERROR(INDEX(Loans!$D$6:$D$65,MATCH($B30,Loans!$A$6:$A$65,0)),""))</f>
        <v/>
      </c>
      <c r="E30" s="24" t="str">
        <f aca="false">IF($B30="","",IF(COUNTIFS($B$5:$B29,$B30)=0,D30,_xlfn.MAXIFS($A$5:$A29,$B$5:$B29,$B30)))</f>
        <v/>
      </c>
      <c r="F30" s="25" t="str">
        <f aca="false">IF(OR($B30="",A30=""),"",MAX(0,A30-E30))</f>
        <v/>
      </c>
      <c r="G30" s="19" t="str">
        <f aca="false">IF($B30="","",IFERROR(INDEX(Loans!$E$6:$E$65,MATCH($B30,Loans!$A$6:$A$65,0)),0)-SUMIFS($K$5:$K29,$B$5:$B29,$B30))</f>
        <v/>
      </c>
      <c r="H30" s="19" t="str">
        <f aca="false">IF(OR($B30="",F30=""),"",ROUND(G30*Start!$B$7*F30/Start!$B$8,2))</f>
        <v/>
      </c>
      <c r="I30" s="19" t="str">
        <f aca="false">IF($B30="","",SUMIFS($H$5:$H29,$B$5:$B29,$B30)-SUMIFS($J$5:$J29,$B$5:$B29,$B30))</f>
        <v/>
      </c>
      <c r="J30" s="19" t="str">
        <f aca="false">IF(OR($B30="",H30=""),"",MIN(C30,H30+I30))</f>
        <v/>
      </c>
      <c r="K30" s="18" t="str">
        <f aca="false">IF(OR($B30="",J30=""),"",MAX(0,MIN(C30-J30,G30)))</f>
        <v/>
      </c>
      <c r="L30" s="18" t="str">
        <f aca="false">IF(OR($B30="",K30=""),"",G30-K30)</f>
        <v/>
      </c>
      <c r="M30" s="19" t="str">
        <f aca="false">IF(OR($B30="",J30=""),"",H30+I30-J30)</f>
        <v/>
      </c>
    </row>
    <row r="31" customFormat="false" ht="15" hidden="false" customHeight="false" outlineLevel="0" collapsed="false">
      <c r="A31" s="14"/>
      <c r="B31" s="5"/>
      <c r="C31" s="9"/>
      <c r="D31" s="24" t="str">
        <f aca="false">IF($B31="","",IFERROR(INDEX(Loans!$D$6:$D$65,MATCH($B31,Loans!$A$6:$A$65,0)),""))</f>
        <v/>
      </c>
      <c r="E31" s="24" t="str">
        <f aca="false">IF($B31="","",IF(COUNTIFS($B$5:$B30,$B31)=0,D31,_xlfn.MAXIFS($A$5:$A30,$B$5:$B30,$B31)))</f>
        <v/>
      </c>
      <c r="F31" s="25" t="str">
        <f aca="false">IF(OR($B31="",A31=""),"",MAX(0,A31-E31))</f>
        <v/>
      </c>
      <c r="G31" s="19" t="str">
        <f aca="false">IF($B31="","",IFERROR(INDEX(Loans!$E$6:$E$65,MATCH($B31,Loans!$A$6:$A$65,0)),0)-SUMIFS($K$5:$K30,$B$5:$B30,$B31))</f>
        <v/>
      </c>
      <c r="H31" s="19" t="str">
        <f aca="false">IF(OR($B31="",F31=""),"",ROUND(G31*Start!$B$7*F31/Start!$B$8,2))</f>
        <v/>
      </c>
      <c r="I31" s="19" t="str">
        <f aca="false">IF($B31="","",SUMIFS($H$5:$H30,$B$5:$B30,$B31)-SUMIFS($J$5:$J30,$B$5:$B30,$B31))</f>
        <v/>
      </c>
      <c r="J31" s="19" t="str">
        <f aca="false">IF(OR($B31="",H31=""),"",MIN(C31,H31+I31))</f>
        <v/>
      </c>
      <c r="K31" s="18" t="str">
        <f aca="false">IF(OR($B31="",J31=""),"",MAX(0,MIN(C31-J31,G31)))</f>
        <v/>
      </c>
      <c r="L31" s="18" t="str">
        <f aca="false">IF(OR($B31="",K31=""),"",G31-K31)</f>
        <v/>
      </c>
      <c r="M31" s="19" t="str">
        <f aca="false">IF(OR($B31="",J31=""),"",H31+I31-J31)</f>
        <v/>
      </c>
    </row>
    <row r="32" customFormat="false" ht="15" hidden="false" customHeight="false" outlineLevel="0" collapsed="false">
      <c r="A32" s="14"/>
      <c r="B32" s="5"/>
      <c r="C32" s="9"/>
      <c r="D32" s="24" t="str">
        <f aca="false">IF($B32="","",IFERROR(INDEX(Loans!$D$6:$D$65,MATCH($B32,Loans!$A$6:$A$65,0)),""))</f>
        <v/>
      </c>
      <c r="E32" s="24" t="str">
        <f aca="false">IF($B32="","",IF(COUNTIFS($B$5:$B31,$B32)=0,D32,_xlfn.MAXIFS($A$5:$A31,$B$5:$B31,$B32)))</f>
        <v/>
      </c>
      <c r="F32" s="25" t="str">
        <f aca="false">IF(OR($B32="",A32=""),"",MAX(0,A32-E32))</f>
        <v/>
      </c>
      <c r="G32" s="19" t="str">
        <f aca="false">IF($B32="","",IFERROR(INDEX(Loans!$E$6:$E$65,MATCH($B32,Loans!$A$6:$A$65,0)),0)-SUMIFS($K$5:$K31,$B$5:$B31,$B32))</f>
        <v/>
      </c>
      <c r="H32" s="19" t="str">
        <f aca="false">IF(OR($B32="",F32=""),"",ROUND(G32*Start!$B$7*F32/Start!$B$8,2))</f>
        <v/>
      </c>
      <c r="I32" s="19" t="str">
        <f aca="false">IF($B32="","",SUMIFS($H$5:$H31,$B$5:$B31,$B32)-SUMIFS($J$5:$J31,$B$5:$B31,$B32))</f>
        <v/>
      </c>
      <c r="J32" s="19" t="str">
        <f aca="false">IF(OR($B32="",H32=""),"",MIN(C32,H32+I32))</f>
        <v/>
      </c>
      <c r="K32" s="18" t="str">
        <f aca="false">IF(OR($B32="",J32=""),"",MAX(0,MIN(C32-J32,G32)))</f>
        <v/>
      </c>
      <c r="L32" s="18" t="str">
        <f aca="false">IF(OR($B32="",K32=""),"",G32-K32)</f>
        <v/>
      </c>
      <c r="M32" s="19" t="str">
        <f aca="false">IF(OR($B32="",J32=""),"",H32+I32-J32)</f>
        <v/>
      </c>
    </row>
    <row r="33" customFormat="false" ht="15" hidden="false" customHeight="false" outlineLevel="0" collapsed="false">
      <c r="A33" s="14"/>
      <c r="B33" s="5"/>
      <c r="C33" s="9"/>
      <c r="D33" s="24" t="str">
        <f aca="false">IF($B33="","",IFERROR(INDEX(Loans!$D$6:$D$65,MATCH($B33,Loans!$A$6:$A$65,0)),""))</f>
        <v/>
      </c>
      <c r="E33" s="24" t="str">
        <f aca="false">IF($B33="","",IF(COUNTIFS($B$5:$B32,$B33)=0,D33,_xlfn.MAXIFS($A$5:$A32,$B$5:$B32,$B33)))</f>
        <v/>
      </c>
      <c r="F33" s="25" t="str">
        <f aca="false">IF(OR($B33="",A33=""),"",MAX(0,A33-E33))</f>
        <v/>
      </c>
      <c r="G33" s="19" t="str">
        <f aca="false">IF($B33="","",IFERROR(INDEX(Loans!$E$6:$E$65,MATCH($B33,Loans!$A$6:$A$65,0)),0)-SUMIFS($K$5:$K32,$B$5:$B32,$B33))</f>
        <v/>
      </c>
      <c r="H33" s="19" t="str">
        <f aca="false">IF(OR($B33="",F33=""),"",ROUND(G33*Start!$B$7*F33/Start!$B$8,2))</f>
        <v/>
      </c>
      <c r="I33" s="19" t="str">
        <f aca="false">IF($B33="","",SUMIFS($H$5:$H32,$B$5:$B32,$B33)-SUMIFS($J$5:$J32,$B$5:$B32,$B33))</f>
        <v/>
      </c>
      <c r="J33" s="19" t="str">
        <f aca="false">IF(OR($B33="",H33=""),"",MIN(C33,H33+I33))</f>
        <v/>
      </c>
      <c r="K33" s="18" t="str">
        <f aca="false">IF(OR($B33="",J33=""),"",MAX(0,MIN(C33-J33,G33)))</f>
        <v/>
      </c>
      <c r="L33" s="18" t="str">
        <f aca="false">IF(OR($B33="",K33=""),"",G33-K33)</f>
        <v/>
      </c>
      <c r="M33" s="19" t="str">
        <f aca="false">IF(OR($B33="",J33=""),"",H33+I33-J33)</f>
        <v/>
      </c>
    </row>
    <row r="34" customFormat="false" ht="15" hidden="false" customHeight="false" outlineLevel="0" collapsed="false">
      <c r="A34" s="14"/>
      <c r="B34" s="5"/>
      <c r="C34" s="9"/>
      <c r="D34" s="24" t="str">
        <f aca="false">IF($B34="","",IFERROR(INDEX(Loans!$D$6:$D$65,MATCH($B34,Loans!$A$6:$A$65,0)),""))</f>
        <v/>
      </c>
      <c r="E34" s="24" t="str">
        <f aca="false">IF($B34="","",IF(COUNTIFS($B$5:$B33,$B34)=0,D34,_xlfn.MAXIFS($A$5:$A33,$B$5:$B33,$B34)))</f>
        <v/>
      </c>
      <c r="F34" s="25" t="str">
        <f aca="false">IF(OR($B34="",A34=""),"",MAX(0,A34-E34))</f>
        <v/>
      </c>
      <c r="G34" s="19" t="str">
        <f aca="false">IF($B34="","",IFERROR(INDEX(Loans!$E$6:$E$65,MATCH($B34,Loans!$A$6:$A$65,0)),0)-SUMIFS($K$5:$K33,$B$5:$B33,$B34))</f>
        <v/>
      </c>
      <c r="H34" s="19" t="str">
        <f aca="false">IF(OR($B34="",F34=""),"",ROUND(G34*Start!$B$7*F34/Start!$B$8,2))</f>
        <v/>
      </c>
      <c r="I34" s="19" t="str">
        <f aca="false">IF($B34="","",SUMIFS($H$5:$H33,$B$5:$B33,$B34)-SUMIFS($J$5:$J33,$B$5:$B33,$B34))</f>
        <v/>
      </c>
      <c r="J34" s="19" t="str">
        <f aca="false">IF(OR($B34="",H34=""),"",MIN(C34,H34+I34))</f>
        <v/>
      </c>
      <c r="K34" s="18" t="str">
        <f aca="false">IF(OR($B34="",J34=""),"",MAX(0,MIN(C34-J34,G34)))</f>
        <v/>
      </c>
      <c r="L34" s="18" t="str">
        <f aca="false">IF(OR($B34="",K34=""),"",G34-K34)</f>
        <v/>
      </c>
      <c r="M34" s="19" t="str">
        <f aca="false">IF(OR($B34="",J34=""),"",H34+I34-J34)</f>
        <v/>
      </c>
    </row>
    <row r="35" customFormat="false" ht="15" hidden="false" customHeight="false" outlineLevel="0" collapsed="false">
      <c r="A35" s="14"/>
      <c r="B35" s="5"/>
      <c r="C35" s="9"/>
      <c r="D35" s="24" t="str">
        <f aca="false">IF($B35="","",IFERROR(INDEX(Loans!$D$6:$D$65,MATCH($B35,Loans!$A$6:$A$65,0)),""))</f>
        <v/>
      </c>
      <c r="E35" s="24" t="str">
        <f aca="false">IF($B35="","",IF(COUNTIFS($B$5:$B34,$B35)=0,D35,_xlfn.MAXIFS($A$5:$A34,$B$5:$B34,$B35)))</f>
        <v/>
      </c>
      <c r="F35" s="25" t="str">
        <f aca="false">IF(OR($B35="",A35=""),"",MAX(0,A35-E35))</f>
        <v/>
      </c>
      <c r="G35" s="19" t="str">
        <f aca="false">IF($B35="","",IFERROR(INDEX(Loans!$E$6:$E$65,MATCH($B35,Loans!$A$6:$A$65,0)),0)-SUMIFS($K$5:$K34,$B$5:$B34,$B35))</f>
        <v/>
      </c>
      <c r="H35" s="19" t="str">
        <f aca="false">IF(OR($B35="",F35=""),"",ROUND(G35*Start!$B$7*F35/Start!$B$8,2))</f>
        <v/>
      </c>
      <c r="I35" s="19" t="str">
        <f aca="false">IF($B35="","",SUMIFS($H$5:$H34,$B$5:$B34,$B35)-SUMIFS($J$5:$J34,$B$5:$B34,$B35))</f>
        <v/>
      </c>
      <c r="J35" s="19" t="str">
        <f aca="false">IF(OR($B35="",H35=""),"",MIN(C35,H35+I35))</f>
        <v/>
      </c>
      <c r="K35" s="18" t="str">
        <f aca="false">IF(OR($B35="",J35=""),"",MAX(0,MIN(C35-J35,G35)))</f>
        <v/>
      </c>
      <c r="L35" s="18" t="str">
        <f aca="false">IF(OR($B35="",K35=""),"",G35-K35)</f>
        <v/>
      </c>
      <c r="M35" s="19" t="str">
        <f aca="false">IF(OR($B35="",J35=""),"",H35+I35-J35)</f>
        <v/>
      </c>
    </row>
    <row r="36" customFormat="false" ht="15" hidden="false" customHeight="false" outlineLevel="0" collapsed="false">
      <c r="A36" s="14"/>
      <c r="B36" s="5"/>
      <c r="C36" s="9"/>
      <c r="D36" s="24" t="str">
        <f aca="false">IF($B36="","",IFERROR(INDEX(Loans!$D$6:$D$65,MATCH($B36,Loans!$A$6:$A$65,0)),""))</f>
        <v/>
      </c>
      <c r="E36" s="24" t="str">
        <f aca="false">IF($B36="","",IF(COUNTIFS($B$5:$B35,$B36)=0,D36,_xlfn.MAXIFS($A$5:$A35,$B$5:$B35,$B36)))</f>
        <v/>
      </c>
      <c r="F36" s="25" t="str">
        <f aca="false">IF(OR($B36="",A36=""),"",MAX(0,A36-E36))</f>
        <v/>
      </c>
      <c r="G36" s="19" t="str">
        <f aca="false">IF($B36="","",IFERROR(INDEX(Loans!$E$6:$E$65,MATCH($B36,Loans!$A$6:$A$65,0)),0)-SUMIFS($K$5:$K35,$B$5:$B35,$B36))</f>
        <v/>
      </c>
      <c r="H36" s="19" t="str">
        <f aca="false">IF(OR($B36="",F36=""),"",ROUND(G36*Start!$B$7*F36/Start!$B$8,2))</f>
        <v/>
      </c>
      <c r="I36" s="19" t="str">
        <f aca="false">IF($B36="","",SUMIFS($H$5:$H35,$B$5:$B35,$B36)-SUMIFS($J$5:$J35,$B$5:$B35,$B36))</f>
        <v/>
      </c>
      <c r="J36" s="19" t="str">
        <f aca="false">IF(OR($B36="",H36=""),"",MIN(C36,H36+I36))</f>
        <v/>
      </c>
      <c r="K36" s="18" t="str">
        <f aca="false">IF(OR($B36="",J36=""),"",MAX(0,MIN(C36-J36,G36)))</f>
        <v/>
      </c>
      <c r="L36" s="18" t="str">
        <f aca="false">IF(OR($B36="",K36=""),"",G36-K36)</f>
        <v/>
      </c>
      <c r="M36" s="19" t="str">
        <f aca="false">IF(OR($B36="",J36=""),"",H36+I36-J36)</f>
        <v/>
      </c>
    </row>
    <row r="37" customFormat="false" ht="15" hidden="false" customHeight="false" outlineLevel="0" collapsed="false">
      <c r="A37" s="14"/>
      <c r="B37" s="5"/>
      <c r="C37" s="9"/>
      <c r="D37" s="24" t="str">
        <f aca="false">IF($B37="","",IFERROR(INDEX(Loans!$D$6:$D$65,MATCH($B37,Loans!$A$6:$A$65,0)),""))</f>
        <v/>
      </c>
      <c r="E37" s="24" t="str">
        <f aca="false">IF($B37="","",IF(COUNTIFS($B$5:$B36,$B37)=0,D37,_xlfn.MAXIFS($A$5:$A36,$B$5:$B36,$B37)))</f>
        <v/>
      </c>
      <c r="F37" s="25" t="str">
        <f aca="false">IF(OR($B37="",A37=""),"",MAX(0,A37-E37))</f>
        <v/>
      </c>
      <c r="G37" s="19" t="str">
        <f aca="false">IF($B37="","",IFERROR(INDEX(Loans!$E$6:$E$65,MATCH($B37,Loans!$A$6:$A$65,0)),0)-SUMIFS($K$5:$K36,$B$5:$B36,$B37))</f>
        <v/>
      </c>
      <c r="H37" s="19" t="str">
        <f aca="false">IF(OR($B37="",F37=""),"",ROUND(G37*Start!$B$7*F37/Start!$B$8,2))</f>
        <v/>
      </c>
      <c r="I37" s="19" t="str">
        <f aca="false">IF($B37="","",SUMIFS($H$5:$H36,$B$5:$B36,$B37)-SUMIFS($J$5:$J36,$B$5:$B36,$B37))</f>
        <v/>
      </c>
      <c r="J37" s="19" t="str">
        <f aca="false">IF(OR($B37="",H37=""),"",MIN(C37,H37+I37))</f>
        <v/>
      </c>
      <c r="K37" s="18" t="str">
        <f aca="false">IF(OR($B37="",J37=""),"",MAX(0,MIN(C37-J37,G37)))</f>
        <v/>
      </c>
      <c r="L37" s="18" t="str">
        <f aca="false">IF(OR($B37="",K37=""),"",G37-K37)</f>
        <v/>
      </c>
      <c r="M37" s="19" t="str">
        <f aca="false">IF(OR($B37="",J37=""),"",H37+I37-J37)</f>
        <v/>
      </c>
    </row>
    <row r="38" customFormat="false" ht="15" hidden="false" customHeight="false" outlineLevel="0" collapsed="false">
      <c r="A38" s="14"/>
      <c r="B38" s="5"/>
      <c r="C38" s="9"/>
      <c r="D38" s="24" t="str">
        <f aca="false">IF($B38="","",IFERROR(INDEX(Loans!$D$6:$D$65,MATCH($B38,Loans!$A$6:$A$65,0)),""))</f>
        <v/>
      </c>
      <c r="E38" s="24" t="str">
        <f aca="false">IF($B38="","",IF(COUNTIFS($B$5:$B37,$B38)=0,D38,_xlfn.MAXIFS($A$5:$A37,$B$5:$B37,$B38)))</f>
        <v/>
      </c>
      <c r="F38" s="25" t="str">
        <f aca="false">IF(OR($B38="",A38=""),"",MAX(0,A38-E38))</f>
        <v/>
      </c>
      <c r="G38" s="19" t="str">
        <f aca="false">IF($B38="","",IFERROR(INDEX(Loans!$E$6:$E$65,MATCH($B38,Loans!$A$6:$A$65,0)),0)-SUMIFS($K$5:$K37,$B$5:$B37,$B38))</f>
        <v/>
      </c>
      <c r="H38" s="19" t="str">
        <f aca="false">IF(OR($B38="",F38=""),"",ROUND(G38*Start!$B$7*F38/Start!$B$8,2))</f>
        <v/>
      </c>
      <c r="I38" s="19" t="str">
        <f aca="false">IF($B38="","",SUMIFS($H$5:$H37,$B$5:$B37,$B38)-SUMIFS($J$5:$J37,$B$5:$B37,$B38))</f>
        <v/>
      </c>
      <c r="J38" s="19" t="str">
        <f aca="false">IF(OR($B38="",H38=""),"",MIN(C38,H38+I38))</f>
        <v/>
      </c>
      <c r="K38" s="18" t="str">
        <f aca="false">IF(OR($B38="",J38=""),"",MAX(0,MIN(C38-J38,G38)))</f>
        <v/>
      </c>
      <c r="L38" s="18" t="str">
        <f aca="false">IF(OR($B38="",K38=""),"",G38-K38)</f>
        <v/>
      </c>
      <c r="M38" s="19" t="str">
        <f aca="false">IF(OR($B38="",J38=""),"",H38+I38-J38)</f>
        <v/>
      </c>
    </row>
    <row r="39" customFormat="false" ht="15" hidden="false" customHeight="false" outlineLevel="0" collapsed="false">
      <c r="A39" s="14"/>
      <c r="B39" s="5"/>
      <c r="C39" s="9"/>
      <c r="D39" s="24" t="str">
        <f aca="false">IF($B39="","",IFERROR(INDEX(Loans!$D$6:$D$65,MATCH($B39,Loans!$A$6:$A$65,0)),""))</f>
        <v/>
      </c>
      <c r="E39" s="24" t="str">
        <f aca="false">IF($B39="","",IF(COUNTIFS($B$5:$B38,$B39)=0,D39,_xlfn.MAXIFS($A$5:$A38,$B$5:$B38,$B39)))</f>
        <v/>
      </c>
      <c r="F39" s="25" t="str">
        <f aca="false">IF(OR($B39="",A39=""),"",MAX(0,A39-E39))</f>
        <v/>
      </c>
      <c r="G39" s="19" t="str">
        <f aca="false">IF($B39="","",IFERROR(INDEX(Loans!$E$6:$E$65,MATCH($B39,Loans!$A$6:$A$65,0)),0)-SUMIFS($K$5:$K38,$B$5:$B38,$B39))</f>
        <v/>
      </c>
      <c r="H39" s="19" t="str">
        <f aca="false">IF(OR($B39="",F39=""),"",ROUND(G39*Start!$B$7*F39/Start!$B$8,2))</f>
        <v/>
      </c>
      <c r="I39" s="19" t="str">
        <f aca="false">IF($B39="","",SUMIFS($H$5:$H38,$B$5:$B38,$B39)-SUMIFS($J$5:$J38,$B$5:$B38,$B39))</f>
        <v/>
      </c>
      <c r="J39" s="19" t="str">
        <f aca="false">IF(OR($B39="",H39=""),"",MIN(C39,H39+I39))</f>
        <v/>
      </c>
      <c r="K39" s="18" t="str">
        <f aca="false">IF(OR($B39="",J39=""),"",MAX(0,MIN(C39-J39,G39)))</f>
        <v/>
      </c>
      <c r="L39" s="18" t="str">
        <f aca="false">IF(OR($B39="",K39=""),"",G39-K39)</f>
        <v/>
      </c>
      <c r="M39" s="19" t="str">
        <f aca="false">IF(OR($B39="",J39=""),"",H39+I39-J39)</f>
        <v/>
      </c>
    </row>
    <row r="40" customFormat="false" ht="15" hidden="false" customHeight="false" outlineLevel="0" collapsed="false">
      <c r="A40" s="14"/>
      <c r="B40" s="5"/>
      <c r="C40" s="9"/>
      <c r="D40" s="24" t="str">
        <f aca="false">IF($B40="","",IFERROR(INDEX(Loans!$D$6:$D$65,MATCH($B40,Loans!$A$6:$A$65,0)),""))</f>
        <v/>
      </c>
      <c r="E40" s="24" t="str">
        <f aca="false">IF($B40="","",IF(COUNTIFS($B$5:$B39,$B40)=0,D40,_xlfn.MAXIFS($A$5:$A39,$B$5:$B39,$B40)))</f>
        <v/>
      </c>
      <c r="F40" s="25" t="str">
        <f aca="false">IF(OR($B40="",A40=""),"",MAX(0,A40-E40))</f>
        <v/>
      </c>
      <c r="G40" s="19" t="str">
        <f aca="false">IF($B40="","",IFERROR(INDEX(Loans!$E$6:$E$65,MATCH($B40,Loans!$A$6:$A$65,0)),0)-SUMIFS($K$5:$K39,$B$5:$B39,$B40))</f>
        <v/>
      </c>
      <c r="H40" s="19" t="str">
        <f aca="false">IF(OR($B40="",F40=""),"",ROUND(G40*Start!$B$7*F40/Start!$B$8,2))</f>
        <v/>
      </c>
      <c r="I40" s="19" t="str">
        <f aca="false">IF($B40="","",SUMIFS($H$5:$H39,$B$5:$B39,$B40)-SUMIFS($J$5:$J39,$B$5:$B39,$B40))</f>
        <v/>
      </c>
      <c r="J40" s="19" t="str">
        <f aca="false">IF(OR($B40="",H40=""),"",MIN(C40,H40+I40))</f>
        <v/>
      </c>
      <c r="K40" s="18" t="str">
        <f aca="false">IF(OR($B40="",J40=""),"",MAX(0,MIN(C40-J40,G40)))</f>
        <v/>
      </c>
      <c r="L40" s="18" t="str">
        <f aca="false">IF(OR($B40="",K40=""),"",G40-K40)</f>
        <v/>
      </c>
      <c r="M40" s="19" t="str">
        <f aca="false">IF(OR($B40="",J40=""),"",H40+I40-J40)</f>
        <v/>
      </c>
    </row>
    <row r="41" customFormat="false" ht="15" hidden="false" customHeight="false" outlineLevel="0" collapsed="false">
      <c r="A41" s="14"/>
      <c r="B41" s="5"/>
      <c r="C41" s="9"/>
      <c r="D41" s="24" t="str">
        <f aca="false">IF($B41="","",IFERROR(INDEX(Loans!$D$6:$D$65,MATCH($B41,Loans!$A$6:$A$65,0)),""))</f>
        <v/>
      </c>
      <c r="E41" s="24" t="str">
        <f aca="false">IF($B41="","",IF(COUNTIFS($B$5:$B40,$B41)=0,D41,_xlfn.MAXIFS($A$5:$A40,$B$5:$B40,$B41)))</f>
        <v/>
      </c>
      <c r="F41" s="25" t="str">
        <f aca="false">IF(OR($B41="",A41=""),"",MAX(0,A41-E41))</f>
        <v/>
      </c>
      <c r="G41" s="19" t="str">
        <f aca="false">IF($B41="","",IFERROR(INDEX(Loans!$E$6:$E$65,MATCH($B41,Loans!$A$6:$A$65,0)),0)-SUMIFS($K$5:$K40,$B$5:$B40,$B41))</f>
        <v/>
      </c>
      <c r="H41" s="19" t="str">
        <f aca="false">IF(OR($B41="",F41=""),"",ROUND(G41*Start!$B$7*F41/Start!$B$8,2))</f>
        <v/>
      </c>
      <c r="I41" s="19" t="str">
        <f aca="false">IF($B41="","",SUMIFS($H$5:$H40,$B$5:$B40,$B41)-SUMIFS($J$5:$J40,$B$5:$B40,$B41))</f>
        <v/>
      </c>
      <c r="J41" s="19" t="str">
        <f aca="false">IF(OR($B41="",H41=""),"",MIN(C41,H41+I41))</f>
        <v/>
      </c>
      <c r="K41" s="18" t="str">
        <f aca="false">IF(OR($B41="",J41=""),"",MAX(0,MIN(C41-J41,G41)))</f>
        <v/>
      </c>
      <c r="L41" s="18" t="str">
        <f aca="false">IF(OR($B41="",K41=""),"",G41-K41)</f>
        <v/>
      </c>
      <c r="M41" s="19" t="str">
        <f aca="false">IF(OR($B41="",J41=""),"",H41+I41-J41)</f>
        <v/>
      </c>
    </row>
    <row r="42" customFormat="false" ht="15" hidden="false" customHeight="false" outlineLevel="0" collapsed="false">
      <c r="A42" s="14"/>
      <c r="B42" s="5"/>
      <c r="C42" s="9"/>
      <c r="D42" s="24" t="str">
        <f aca="false">IF($B42="","",IFERROR(INDEX(Loans!$D$6:$D$65,MATCH($B42,Loans!$A$6:$A$65,0)),""))</f>
        <v/>
      </c>
      <c r="E42" s="24" t="str">
        <f aca="false">IF($B42="","",IF(COUNTIFS($B$5:$B41,$B42)=0,D42,_xlfn.MAXIFS($A$5:$A41,$B$5:$B41,$B42)))</f>
        <v/>
      </c>
      <c r="F42" s="25" t="str">
        <f aca="false">IF(OR($B42="",A42=""),"",MAX(0,A42-E42))</f>
        <v/>
      </c>
      <c r="G42" s="19" t="str">
        <f aca="false">IF($B42="","",IFERROR(INDEX(Loans!$E$6:$E$65,MATCH($B42,Loans!$A$6:$A$65,0)),0)-SUMIFS($K$5:$K41,$B$5:$B41,$B42))</f>
        <v/>
      </c>
      <c r="H42" s="19" t="str">
        <f aca="false">IF(OR($B42="",F42=""),"",ROUND(G42*Start!$B$7*F42/Start!$B$8,2))</f>
        <v/>
      </c>
      <c r="I42" s="19" t="str">
        <f aca="false">IF($B42="","",SUMIFS($H$5:$H41,$B$5:$B41,$B42)-SUMIFS($J$5:$J41,$B$5:$B41,$B42))</f>
        <v/>
      </c>
      <c r="J42" s="19" t="str">
        <f aca="false">IF(OR($B42="",H42=""),"",MIN(C42,H42+I42))</f>
        <v/>
      </c>
      <c r="K42" s="18" t="str">
        <f aca="false">IF(OR($B42="",J42=""),"",MAX(0,MIN(C42-J42,G42)))</f>
        <v/>
      </c>
      <c r="L42" s="18" t="str">
        <f aca="false">IF(OR($B42="",K42=""),"",G42-K42)</f>
        <v/>
      </c>
      <c r="M42" s="19" t="str">
        <f aca="false">IF(OR($B42="",J42=""),"",H42+I42-J42)</f>
        <v/>
      </c>
    </row>
    <row r="43" customFormat="false" ht="15" hidden="false" customHeight="false" outlineLevel="0" collapsed="false">
      <c r="A43" s="14"/>
      <c r="B43" s="5"/>
      <c r="C43" s="9"/>
      <c r="D43" s="24" t="str">
        <f aca="false">IF($B43="","",IFERROR(INDEX(Loans!$D$6:$D$65,MATCH($B43,Loans!$A$6:$A$65,0)),""))</f>
        <v/>
      </c>
      <c r="E43" s="24" t="str">
        <f aca="false">IF($B43="","",IF(COUNTIFS($B$5:$B42,$B43)=0,D43,_xlfn.MAXIFS($A$5:$A42,$B$5:$B42,$B43)))</f>
        <v/>
      </c>
      <c r="F43" s="25" t="str">
        <f aca="false">IF(OR($B43="",A43=""),"",MAX(0,A43-E43))</f>
        <v/>
      </c>
      <c r="G43" s="19" t="str">
        <f aca="false">IF($B43="","",IFERROR(INDEX(Loans!$E$6:$E$65,MATCH($B43,Loans!$A$6:$A$65,0)),0)-SUMIFS($K$5:$K42,$B$5:$B42,$B43))</f>
        <v/>
      </c>
      <c r="H43" s="19" t="str">
        <f aca="false">IF(OR($B43="",F43=""),"",ROUND(G43*Start!$B$7*F43/Start!$B$8,2))</f>
        <v/>
      </c>
      <c r="I43" s="19" t="str">
        <f aca="false">IF($B43="","",SUMIFS($H$5:$H42,$B$5:$B42,$B43)-SUMIFS($J$5:$J42,$B$5:$B42,$B43))</f>
        <v/>
      </c>
      <c r="J43" s="19" t="str">
        <f aca="false">IF(OR($B43="",H43=""),"",MIN(C43,H43+I43))</f>
        <v/>
      </c>
      <c r="K43" s="18" t="str">
        <f aca="false">IF(OR($B43="",J43=""),"",MAX(0,MIN(C43-J43,G43)))</f>
        <v/>
      </c>
      <c r="L43" s="18" t="str">
        <f aca="false">IF(OR($B43="",K43=""),"",G43-K43)</f>
        <v/>
      </c>
      <c r="M43" s="19" t="str">
        <f aca="false">IF(OR($B43="",J43=""),"",H43+I43-J43)</f>
        <v/>
      </c>
    </row>
    <row r="44" customFormat="false" ht="15" hidden="false" customHeight="false" outlineLevel="0" collapsed="false">
      <c r="A44" s="14"/>
      <c r="B44" s="5"/>
      <c r="C44" s="9"/>
      <c r="D44" s="24" t="str">
        <f aca="false">IF($B44="","",IFERROR(INDEX(Loans!$D$6:$D$65,MATCH($B44,Loans!$A$6:$A$65,0)),""))</f>
        <v/>
      </c>
      <c r="E44" s="24" t="str">
        <f aca="false">IF($B44="","",IF(COUNTIFS($B$5:$B43,$B44)=0,D44,_xlfn.MAXIFS($A$5:$A43,$B$5:$B43,$B44)))</f>
        <v/>
      </c>
      <c r="F44" s="25" t="str">
        <f aca="false">IF(OR($B44="",A44=""),"",MAX(0,A44-E44))</f>
        <v/>
      </c>
      <c r="G44" s="19" t="str">
        <f aca="false">IF($B44="","",IFERROR(INDEX(Loans!$E$6:$E$65,MATCH($B44,Loans!$A$6:$A$65,0)),0)-SUMIFS($K$5:$K43,$B$5:$B43,$B44))</f>
        <v/>
      </c>
      <c r="H44" s="19" t="str">
        <f aca="false">IF(OR($B44="",F44=""),"",ROUND(G44*Start!$B$7*F44/Start!$B$8,2))</f>
        <v/>
      </c>
      <c r="I44" s="19" t="str">
        <f aca="false">IF($B44="","",SUMIFS($H$5:$H43,$B$5:$B43,$B44)-SUMIFS($J$5:$J43,$B$5:$B43,$B44))</f>
        <v/>
      </c>
      <c r="J44" s="19" t="str">
        <f aca="false">IF(OR($B44="",H44=""),"",MIN(C44,H44+I44))</f>
        <v/>
      </c>
      <c r="K44" s="18" t="str">
        <f aca="false">IF(OR($B44="",J44=""),"",MAX(0,MIN(C44-J44,G44)))</f>
        <v/>
      </c>
      <c r="L44" s="18" t="str">
        <f aca="false">IF(OR($B44="",K44=""),"",G44-K44)</f>
        <v/>
      </c>
      <c r="M44" s="19" t="str">
        <f aca="false">IF(OR($B44="",J44=""),"",H44+I44-J44)</f>
        <v/>
      </c>
    </row>
    <row r="45" customFormat="false" ht="15" hidden="false" customHeight="false" outlineLevel="0" collapsed="false">
      <c r="A45" s="14"/>
      <c r="B45" s="5"/>
      <c r="C45" s="9"/>
      <c r="D45" s="24" t="str">
        <f aca="false">IF($B45="","",IFERROR(INDEX(Loans!$D$6:$D$65,MATCH($B45,Loans!$A$6:$A$65,0)),""))</f>
        <v/>
      </c>
      <c r="E45" s="24" t="str">
        <f aca="false">IF($B45="","",IF(COUNTIFS($B$5:$B44,$B45)=0,D45,_xlfn.MAXIFS($A$5:$A44,$B$5:$B44,$B45)))</f>
        <v/>
      </c>
      <c r="F45" s="25" t="str">
        <f aca="false">IF(OR($B45="",A45=""),"",MAX(0,A45-E45))</f>
        <v/>
      </c>
      <c r="G45" s="19" t="str">
        <f aca="false">IF($B45="","",IFERROR(INDEX(Loans!$E$6:$E$65,MATCH($B45,Loans!$A$6:$A$65,0)),0)-SUMIFS($K$5:$K44,$B$5:$B44,$B45))</f>
        <v/>
      </c>
      <c r="H45" s="19" t="str">
        <f aca="false">IF(OR($B45="",F45=""),"",ROUND(G45*Start!$B$7*F45/Start!$B$8,2))</f>
        <v/>
      </c>
      <c r="I45" s="19" t="str">
        <f aca="false">IF($B45="","",SUMIFS($H$5:$H44,$B$5:$B44,$B45)-SUMIFS($J$5:$J44,$B$5:$B44,$B45))</f>
        <v/>
      </c>
      <c r="J45" s="19" t="str">
        <f aca="false">IF(OR($B45="",H45=""),"",MIN(C45,H45+I45))</f>
        <v/>
      </c>
      <c r="K45" s="18" t="str">
        <f aca="false">IF(OR($B45="",J45=""),"",MAX(0,MIN(C45-J45,G45)))</f>
        <v/>
      </c>
      <c r="L45" s="18" t="str">
        <f aca="false">IF(OR($B45="",K45=""),"",G45-K45)</f>
        <v/>
      </c>
      <c r="M45" s="19" t="str">
        <f aca="false">IF(OR($B45="",J45=""),"",H45+I45-J45)</f>
        <v/>
      </c>
    </row>
    <row r="46" customFormat="false" ht="15" hidden="false" customHeight="false" outlineLevel="0" collapsed="false">
      <c r="A46" s="14"/>
      <c r="B46" s="5"/>
      <c r="C46" s="9"/>
      <c r="D46" s="24" t="str">
        <f aca="false">IF($B46="","",IFERROR(INDEX(Loans!$D$6:$D$65,MATCH($B46,Loans!$A$6:$A$65,0)),""))</f>
        <v/>
      </c>
      <c r="E46" s="24" t="str">
        <f aca="false">IF($B46="","",IF(COUNTIFS($B$5:$B45,$B46)=0,D46,_xlfn.MAXIFS($A$5:$A45,$B$5:$B45,$B46)))</f>
        <v/>
      </c>
      <c r="F46" s="25" t="str">
        <f aca="false">IF(OR($B46="",A46=""),"",MAX(0,A46-E46))</f>
        <v/>
      </c>
      <c r="G46" s="19" t="str">
        <f aca="false">IF($B46="","",IFERROR(INDEX(Loans!$E$6:$E$65,MATCH($B46,Loans!$A$6:$A$65,0)),0)-SUMIFS($K$5:$K45,$B$5:$B45,$B46))</f>
        <v/>
      </c>
      <c r="H46" s="19" t="str">
        <f aca="false">IF(OR($B46="",F46=""),"",ROUND(G46*Start!$B$7*F46/Start!$B$8,2))</f>
        <v/>
      </c>
      <c r="I46" s="19" t="str">
        <f aca="false">IF($B46="","",SUMIFS($H$5:$H45,$B$5:$B45,$B46)-SUMIFS($J$5:$J45,$B$5:$B45,$B46))</f>
        <v/>
      </c>
      <c r="J46" s="19" t="str">
        <f aca="false">IF(OR($B46="",H46=""),"",MIN(C46,H46+I46))</f>
        <v/>
      </c>
      <c r="K46" s="18" t="str">
        <f aca="false">IF(OR($B46="",J46=""),"",MAX(0,MIN(C46-J46,G46)))</f>
        <v/>
      </c>
      <c r="L46" s="18" t="str">
        <f aca="false">IF(OR($B46="",K46=""),"",G46-K46)</f>
        <v/>
      </c>
      <c r="M46" s="19" t="str">
        <f aca="false">IF(OR($B46="",J46=""),"",H46+I46-J46)</f>
        <v/>
      </c>
    </row>
    <row r="47" customFormat="false" ht="15" hidden="false" customHeight="false" outlineLevel="0" collapsed="false">
      <c r="A47" s="14"/>
      <c r="B47" s="5"/>
      <c r="C47" s="9"/>
      <c r="D47" s="24" t="str">
        <f aca="false">IF($B47="","",IFERROR(INDEX(Loans!$D$6:$D$65,MATCH($B47,Loans!$A$6:$A$65,0)),""))</f>
        <v/>
      </c>
      <c r="E47" s="24" t="str">
        <f aca="false">IF($B47="","",IF(COUNTIFS($B$5:$B46,$B47)=0,D47,_xlfn.MAXIFS($A$5:$A46,$B$5:$B46,$B47)))</f>
        <v/>
      </c>
      <c r="F47" s="25" t="str">
        <f aca="false">IF(OR($B47="",A47=""),"",MAX(0,A47-E47))</f>
        <v/>
      </c>
      <c r="G47" s="19" t="str">
        <f aca="false">IF($B47="","",IFERROR(INDEX(Loans!$E$6:$E$65,MATCH($B47,Loans!$A$6:$A$65,0)),0)-SUMIFS($K$5:$K46,$B$5:$B46,$B47))</f>
        <v/>
      </c>
      <c r="H47" s="19" t="str">
        <f aca="false">IF(OR($B47="",F47=""),"",ROUND(G47*Start!$B$7*F47/Start!$B$8,2))</f>
        <v/>
      </c>
      <c r="I47" s="19" t="str">
        <f aca="false">IF($B47="","",SUMIFS($H$5:$H46,$B$5:$B46,$B47)-SUMIFS($J$5:$J46,$B$5:$B46,$B47))</f>
        <v/>
      </c>
      <c r="J47" s="19" t="str">
        <f aca="false">IF(OR($B47="",H47=""),"",MIN(C47,H47+I47))</f>
        <v/>
      </c>
      <c r="K47" s="18" t="str">
        <f aca="false">IF(OR($B47="",J47=""),"",MAX(0,MIN(C47-J47,G47)))</f>
        <v/>
      </c>
      <c r="L47" s="18" t="str">
        <f aca="false">IF(OR($B47="",K47=""),"",G47-K47)</f>
        <v/>
      </c>
      <c r="M47" s="19" t="str">
        <f aca="false">IF(OR($B47="",J47=""),"",H47+I47-J47)</f>
        <v/>
      </c>
    </row>
    <row r="48" customFormat="false" ht="15" hidden="false" customHeight="false" outlineLevel="0" collapsed="false">
      <c r="A48" s="14"/>
      <c r="B48" s="5"/>
      <c r="C48" s="9"/>
      <c r="D48" s="24" t="str">
        <f aca="false">IF($B48="","",IFERROR(INDEX(Loans!$D$6:$D$65,MATCH($B48,Loans!$A$6:$A$65,0)),""))</f>
        <v/>
      </c>
      <c r="E48" s="24" t="str">
        <f aca="false">IF($B48="","",IF(COUNTIFS($B$5:$B47,$B48)=0,D48,_xlfn.MAXIFS($A$5:$A47,$B$5:$B47,$B48)))</f>
        <v/>
      </c>
      <c r="F48" s="25" t="str">
        <f aca="false">IF(OR($B48="",A48=""),"",MAX(0,A48-E48))</f>
        <v/>
      </c>
      <c r="G48" s="19" t="str">
        <f aca="false">IF($B48="","",IFERROR(INDEX(Loans!$E$6:$E$65,MATCH($B48,Loans!$A$6:$A$65,0)),0)-SUMIFS($K$5:$K47,$B$5:$B47,$B48))</f>
        <v/>
      </c>
      <c r="H48" s="19" t="str">
        <f aca="false">IF(OR($B48="",F48=""),"",ROUND(G48*Start!$B$7*F48/Start!$B$8,2))</f>
        <v/>
      </c>
      <c r="I48" s="19" t="str">
        <f aca="false">IF($B48="","",SUMIFS($H$5:$H47,$B$5:$B47,$B48)-SUMIFS($J$5:$J47,$B$5:$B47,$B48))</f>
        <v/>
      </c>
      <c r="J48" s="19" t="str">
        <f aca="false">IF(OR($B48="",H48=""),"",MIN(C48,H48+I48))</f>
        <v/>
      </c>
      <c r="K48" s="18" t="str">
        <f aca="false">IF(OR($B48="",J48=""),"",MAX(0,MIN(C48-J48,G48)))</f>
        <v/>
      </c>
      <c r="L48" s="18" t="str">
        <f aca="false">IF(OR($B48="",K48=""),"",G48-K48)</f>
        <v/>
      </c>
      <c r="M48" s="19" t="str">
        <f aca="false">IF(OR($B48="",J48=""),"",H48+I48-J48)</f>
        <v/>
      </c>
    </row>
    <row r="49" customFormat="false" ht="15" hidden="false" customHeight="false" outlineLevel="0" collapsed="false">
      <c r="A49" s="14"/>
      <c r="B49" s="5"/>
      <c r="C49" s="9"/>
      <c r="D49" s="24" t="str">
        <f aca="false">IF($B49="","",IFERROR(INDEX(Loans!$D$6:$D$65,MATCH($B49,Loans!$A$6:$A$65,0)),""))</f>
        <v/>
      </c>
      <c r="E49" s="24" t="str">
        <f aca="false">IF($B49="","",IF(COUNTIFS($B$5:$B48,$B49)=0,D49,_xlfn.MAXIFS($A$5:$A48,$B$5:$B48,$B49)))</f>
        <v/>
      </c>
      <c r="F49" s="25" t="str">
        <f aca="false">IF(OR($B49="",A49=""),"",MAX(0,A49-E49))</f>
        <v/>
      </c>
      <c r="G49" s="19" t="str">
        <f aca="false">IF($B49="","",IFERROR(INDEX(Loans!$E$6:$E$65,MATCH($B49,Loans!$A$6:$A$65,0)),0)-SUMIFS($K$5:$K48,$B$5:$B48,$B49))</f>
        <v/>
      </c>
      <c r="H49" s="19" t="str">
        <f aca="false">IF(OR($B49="",F49=""),"",ROUND(G49*Start!$B$7*F49/Start!$B$8,2))</f>
        <v/>
      </c>
      <c r="I49" s="19" t="str">
        <f aca="false">IF($B49="","",SUMIFS($H$5:$H48,$B$5:$B48,$B49)-SUMIFS($J$5:$J48,$B$5:$B48,$B49))</f>
        <v/>
      </c>
      <c r="J49" s="19" t="str">
        <f aca="false">IF(OR($B49="",H49=""),"",MIN(C49,H49+I49))</f>
        <v/>
      </c>
      <c r="K49" s="18" t="str">
        <f aca="false">IF(OR($B49="",J49=""),"",MAX(0,MIN(C49-J49,G49)))</f>
        <v/>
      </c>
      <c r="L49" s="18" t="str">
        <f aca="false">IF(OR($B49="",K49=""),"",G49-K49)</f>
        <v/>
      </c>
      <c r="M49" s="19" t="str">
        <f aca="false">IF(OR($B49="",J49=""),"",H49+I49-J49)</f>
        <v/>
      </c>
    </row>
    <row r="50" customFormat="false" ht="15" hidden="false" customHeight="false" outlineLevel="0" collapsed="false">
      <c r="A50" s="14"/>
      <c r="B50" s="5"/>
      <c r="C50" s="9"/>
      <c r="D50" s="24" t="str">
        <f aca="false">IF($B50="","",IFERROR(INDEX(Loans!$D$6:$D$65,MATCH($B50,Loans!$A$6:$A$65,0)),""))</f>
        <v/>
      </c>
      <c r="E50" s="24" t="str">
        <f aca="false">IF($B50="","",IF(COUNTIFS($B$5:$B49,$B50)=0,D50,_xlfn.MAXIFS($A$5:$A49,$B$5:$B49,$B50)))</f>
        <v/>
      </c>
      <c r="F50" s="25" t="str">
        <f aca="false">IF(OR($B50="",A50=""),"",MAX(0,A50-E50))</f>
        <v/>
      </c>
      <c r="G50" s="19" t="str">
        <f aca="false">IF($B50="","",IFERROR(INDEX(Loans!$E$6:$E$65,MATCH($B50,Loans!$A$6:$A$65,0)),0)-SUMIFS($K$5:$K49,$B$5:$B49,$B50))</f>
        <v/>
      </c>
      <c r="H50" s="19" t="str">
        <f aca="false">IF(OR($B50="",F50=""),"",ROUND(G50*Start!$B$7*F50/Start!$B$8,2))</f>
        <v/>
      </c>
      <c r="I50" s="19" t="str">
        <f aca="false">IF($B50="","",SUMIFS($H$5:$H49,$B$5:$B49,$B50)-SUMIFS($J$5:$J49,$B$5:$B49,$B50))</f>
        <v/>
      </c>
      <c r="J50" s="19" t="str">
        <f aca="false">IF(OR($B50="",H50=""),"",MIN(C50,H50+I50))</f>
        <v/>
      </c>
      <c r="K50" s="18" t="str">
        <f aca="false">IF(OR($B50="",J50=""),"",MAX(0,MIN(C50-J50,G50)))</f>
        <v/>
      </c>
      <c r="L50" s="18" t="str">
        <f aca="false">IF(OR($B50="",K50=""),"",G50-K50)</f>
        <v/>
      </c>
      <c r="M50" s="19" t="str">
        <f aca="false">IF(OR($B50="",J50=""),"",H50+I50-J50)</f>
        <v/>
      </c>
    </row>
    <row r="51" customFormat="false" ht="15" hidden="false" customHeight="false" outlineLevel="0" collapsed="false">
      <c r="A51" s="14"/>
      <c r="B51" s="5"/>
      <c r="C51" s="9"/>
      <c r="D51" s="24" t="str">
        <f aca="false">IF($B51="","",IFERROR(INDEX(Loans!$D$6:$D$65,MATCH($B51,Loans!$A$6:$A$65,0)),""))</f>
        <v/>
      </c>
      <c r="E51" s="24" t="str">
        <f aca="false">IF($B51="","",IF(COUNTIFS($B$5:$B50,$B51)=0,D51,_xlfn.MAXIFS($A$5:$A50,$B$5:$B50,$B51)))</f>
        <v/>
      </c>
      <c r="F51" s="25" t="str">
        <f aca="false">IF(OR($B51="",A51=""),"",MAX(0,A51-E51))</f>
        <v/>
      </c>
      <c r="G51" s="19" t="str">
        <f aca="false">IF($B51="","",IFERROR(INDEX(Loans!$E$6:$E$65,MATCH($B51,Loans!$A$6:$A$65,0)),0)-SUMIFS($K$5:$K50,$B$5:$B50,$B51))</f>
        <v/>
      </c>
      <c r="H51" s="19" t="str">
        <f aca="false">IF(OR($B51="",F51=""),"",ROUND(G51*Start!$B$7*F51/Start!$B$8,2))</f>
        <v/>
      </c>
      <c r="I51" s="19" t="str">
        <f aca="false">IF($B51="","",SUMIFS($H$5:$H50,$B$5:$B50,$B51)-SUMIFS($J$5:$J50,$B$5:$B50,$B51))</f>
        <v/>
      </c>
      <c r="J51" s="19" t="str">
        <f aca="false">IF(OR($B51="",H51=""),"",MIN(C51,H51+I51))</f>
        <v/>
      </c>
      <c r="K51" s="18" t="str">
        <f aca="false">IF(OR($B51="",J51=""),"",MAX(0,MIN(C51-J51,G51)))</f>
        <v/>
      </c>
      <c r="L51" s="18" t="str">
        <f aca="false">IF(OR($B51="",K51=""),"",G51-K51)</f>
        <v/>
      </c>
      <c r="M51" s="19" t="str">
        <f aca="false">IF(OR($B51="",J51=""),"",H51+I51-J51)</f>
        <v/>
      </c>
    </row>
    <row r="52" customFormat="false" ht="15" hidden="false" customHeight="false" outlineLevel="0" collapsed="false">
      <c r="A52" s="14"/>
      <c r="B52" s="5"/>
      <c r="C52" s="9"/>
      <c r="D52" s="24" t="str">
        <f aca="false">IF($B52="","",IFERROR(INDEX(Loans!$D$6:$D$65,MATCH($B52,Loans!$A$6:$A$65,0)),""))</f>
        <v/>
      </c>
      <c r="E52" s="24" t="str">
        <f aca="false">IF($B52="","",IF(COUNTIFS($B$5:$B51,$B52)=0,D52,_xlfn.MAXIFS($A$5:$A51,$B$5:$B51,$B52)))</f>
        <v/>
      </c>
      <c r="F52" s="25" t="str">
        <f aca="false">IF(OR($B52="",A52=""),"",MAX(0,A52-E52))</f>
        <v/>
      </c>
      <c r="G52" s="19" t="str">
        <f aca="false">IF($B52="","",IFERROR(INDEX(Loans!$E$6:$E$65,MATCH($B52,Loans!$A$6:$A$65,0)),0)-SUMIFS($K$5:$K51,$B$5:$B51,$B52))</f>
        <v/>
      </c>
      <c r="H52" s="19" t="str">
        <f aca="false">IF(OR($B52="",F52=""),"",ROUND(G52*Start!$B$7*F52/Start!$B$8,2))</f>
        <v/>
      </c>
      <c r="I52" s="19" t="str">
        <f aca="false">IF($B52="","",SUMIFS($H$5:$H51,$B$5:$B51,$B52)-SUMIFS($J$5:$J51,$B$5:$B51,$B52))</f>
        <v/>
      </c>
      <c r="J52" s="19" t="str">
        <f aca="false">IF(OR($B52="",H52=""),"",MIN(C52,H52+I52))</f>
        <v/>
      </c>
      <c r="K52" s="18" t="str">
        <f aca="false">IF(OR($B52="",J52=""),"",MAX(0,MIN(C52-J52,G52)))</f>
        <v/>
      </c>
      <c r="L52" s="18" t="str">
        <f aca="false">IF(OR($B52="",K52=""),"",G52-K52)</f>
        <v/>
      </c>
      <c r="M52" s="19" t="str">
        <f aca="false">IF(OR($B52="",J52=""),"",H52+I52-J52)</f>
        <v/>
      </c>
    </row>
    <row r="53" customFormat="false" ht="15" hidden="false" customHeight="false" outlineLevel="0" collapsed="false">
      <c r="A53" s="14"/>
      <c r="B53" s="5"/>
      <c r="C53" s="9"/>
      <c r="D53" s="24" t="str">
        <f aca="false">IF($B53="","",IFERROR(INDEX(Loans!$D$6:$D$65,MATCH($B53,Loans!$A$6:$A$65,0)),""))</f>
        <v/>
      </c>
      <c r="E53" s="24" t="str">
        <f aca="false">IF($B53="","",IF(COUNTIFS($B$5:$B52,$B53)=0,D53,_xlfn.MAXIFS($A$5:$A52,$B$5:$B52,$B53)))</f>
        <v/>
      </c>
      <c r="F53" s="25" t="str">
        <f aca="false">IF(OR($B53="",A53=""),"",MAX(0,A53-E53))</f>
        <v/>
      </c>
      <c r="G53" s="19" t="str">
        <f aca="false">IF($B53="","",IFERROR(INDEX(Loans!$E$6:$E$65,MATCH($B53,Loans!$A$6:$A$65,0)),0)-SUMIFS($K$5:$K52,$B$5:$B52,$B53))</f>
        <v/>
      </c>
      <c r="H53" s="19" t="str">
        <f aca="false">IF(OR($B53="",F53=""),"",ROUND(G53*Start!$B$7*F53/Start!$B$8,2))</f>
        <v/>
      </c>
      <c r="I53" s="19" t="str">
        <f aca="false">IF($B53="","",SUMIFS($H$5:$H52,$B$5:$B52,$B53)-SUMIFS($J$5:$J52,$B$5:$B52,$B53))</f>
        <v/>
      </c>
      <c r="J53" s="19" t="str">
        <f aca="false">IF(OR($B53="",H53=""),"",MIN(C53,H53+I53))</f>
        <v/>
      </c>
      <c r="K53" s="18" t="str">
        <f aca="false">IF(OR($B53="",J53=""),"",MAX(0,MIN(C53-J53,G53)))</f>
        <v/>
      </c>
      <c r="L53" s="18" t="str">
        <f aca="false">IF(OR($B53="",K53=""),"",G53-K53)</f>
        <v/>
      </c>
      <c r="M53" s="19" t="str">
        <f aca="false">IF(OR($B53="",J53=""),"",H53+I53-J53)</f>
        <v/>
      </c>
    </row>
    <row r="54" customFormat="false" ht="15" hidden="false" customHeight="false" outlineLevel="0" collapsed="false">
      <c r="A54" s="14"/>
      <c r="B54" s="5"/>
      <c r="C54" s="9"/>
      <c r="D54" s="24" t="str">
        <f aca="false">IF($B54="","",IFERROR(INDEX(Loans!$D$6:$D$65,MATCH($B54,Loans!$A$6:$A$65,0)),""))</f>
        <v/>
      </c>
      <c r="E54" s="24" t="str">
        <f aca="false">IF($B54="","",IF(COUNTIFS($B$5:$B53,$B54)=0,D54,_xlfn.MAXIFS($A$5:$A53,$B$5:$B53,$B54)))</f>
        <v/>
      </c>
      <c r="F54" s="25" t="str">
        <f aca="false">IF(OR($B54="",A54=""),"",MAX(0,A54-E54))</f>
        <v/>
      </c>
      <c r="G54" s="19" t="str">
        <f aca="false">IF($B54="","",IFERROR(INDEX(Loans!$E$6:$E$65,MATCH($B54,Loans!$A$6:$A$65,0)),0)-SUMIFS($K$5:$K53,$B$5:$B53,$B54))</f>
        <v/>
      </c>
      <c r="H54" s="19" t="str">
        <f aca="false">IF(OR($B54="",F54=""),"",ROUND(G54*Start!$B$7*F54/Start!$B$8,2))</f>
        <v/>
      </c>
      <c r="I54" s="19" t="str">
        <f aca="false">IF($B54="","",SUMIFS($H$5:$H53,$B$5:$B53,$B54)-SUMIFS($J$5:$J53,$B$5:$B53,$B54))</f>
        <v/>
      </c>
      <c r="J54" s="19" t="str">
        <f aca="false">IF(OR($B54="",H54=""),"",MIN(C54,H54+I54))</f>
        <v/>
      </c>
      <c r="K54" s="18" t="str">
        <f aca="false">IF(OR($B54="",J54=""),"",MAX(0,MIN(C54-J54,G54)))</f>
        <v/>
      </c>
      <c r="L54" s="18" t="str">
        <f aca="false">IF(OR($B54="",K54=""),"",G54-K54)</f>
        <v/>
      </c>
      <c r="M54" s="19" t="str">
        <f aca="false">IF(OR($B54="",J54=""),"",H54+I54-J54)</f>
        <v/>
      </c>
    </row>
    <row r="55" customFormat="false" ht="15" hidden="false" customHeight="false" outlineLevel="0" collapsed="false">
      <c r="A55" s="14"/>
      <c r="B55" s="5"/>
      <c r="C55" s="9"/>
      <c r="D55" s="24" t="str">
        <f aca="false">IF($B55="","",IFERROR(INDEX(Loans!$D$6:$D$65,MATCH($B55,Loans!$A$6:$A$65,0)),""))</f>
        <v/>
      </c>
      <c r="E55" s="24" t="str">
        <f aca="false">IF($B55="","",IF(COUNTIFS($B$5:$B54,$B55)=0,D55,_xlfn.MAXIFS($A$5:$A54,$B$5:$B54,$B55)))</f>
        <v/>
      </c>
      <c r="F55" s="25" t="str">
        <f aca="false">IF(OR($B55="",A55=""),"",MAX(0,A55-E55))</f>
        <v/>
      </c>
      <c r="G55" s="19" t="str">
        <f aca="false">IF($B55="","",IFERROR(INDEX(Loans!$E$6:$E$65,MATCH($B55,Loans!$A$6:$A$65,0)),0)-SUMIFS($K$5:$K54,$B$5:$B54,$B55))</f>
        <v/>
      </c>
      <c r="H55" s="19" t="str">
        <f aca="false">IF(OR($B55="",F55=""),"",ROUND(G55*Start!$B$7*F55/Start!$B$8,2))</f>
        <v/>
      </c>
      <c r="I55" s="19" t="str">
        <f aca="false">IF($B55="","",SUMIFS($H$5:$H54,$B$5:$B54,$B55)-SUMIFS($J$5:$J54,$B$5:$B54,$B55))</f>
        <v/>
      </c>
      <c r="J55" s="19" t="str">
        <f aca="false">IF(OR($B55="",H55=""),"",MIN(C55,H55+I55))</f>
        <v/>
      </c>
      <c r="K55" s="18" t="str">
        <f aca="false">IF(OR($B55="",J55=""),"",MAX(0,MIN(C55-J55,G55)))</f>
        <v/>
      </c>
      <c r="L55" s="18" t="str">
        <f aca="false">IF(OR($B55="",K55=""),"",G55-K55)</f>
        <v/>
      </c>
      <c r="M55" s="19" t="str">
        <f aca="false">IF(OR($B55="",J55=""),"",H55+I55-J55)</f>
        <v/>
      </c>
    </row>
    <row r="56" customFormat="false" ht="15" hidden="false" customHeight="false" outlineLevel="0" collapsed="false">
      <c r="A56" s="14"/>
      <c r="B56" s="5"/>
      <c r="C56" s="9"/>
      <c r="D56" s="24" t="str">
        <f aca="false">IF($B56="","",IFERROR(INDEX(Loans!$D$6:$D$65,MATCH($B56,Loans!$A$6:$A$65,0)),""))</f>
        <v/>
      </c>
      <c r="E56" s="24" t="str">
        <f aca="false">IF($B56="","",IF(COUNTIFS($B$5:$B55,$B56)=0,D56,_xlfn.MAXIFS($A$5:$A55,$B$5:$B55,$B56)))</f>
        <v/>
      </c>
      <c r="F56" s="25" t="str">
        <f aca="false">IF(OR($B56="",A56=""),"",MAX(0,A56-E56))</f>
        <v/>
      </c>
      <c r="G56" s="19" t="str">
        <f aca="false">IF($B56="","",IFERROR(INDEX(Loans!$E$6:$E$65,MATCH($B56,Loans!$A$6:$A$65,0)),0)-SUMIFS($K$5:$K55,$B$5:$B55,$B56))</f>
        <v/>
      </c>
      <c r="H56" s="19" t="str">
        <f aca="false">IF(OR($B56="",F56=""),"",ROUND(G56*Start!$B$7*F56/Start!$B$8,2))</f>
        <v/>
      </c>
      <c r="I56" s="19" t="str">
        <f aca="false">IF($B56="","",SUMIFS($H$5:$H55,$B$5:$B55,$B56)-SUMIFS($J$5:$J55,$B$5:$B55,$B56))</f>
        <v/>
      </c>
      <c r="J56" s="19" t="str">
        <f aca="false">IF(OR($B56="",H56=""),"",MIN(C56,H56+I56))</f>
        <v/>
      </c>
      <c r="K56" s="18" t="str">
        <f aca="false">IF(OR($B56="",J56=""),"",MAX(0,MIN(C56-J56,G56)))</f>
        <v/>
      </c>
      <c r="L56" s="18" t="str">
        <f aca="false">IF(OR($B56="",K56=""),"",G56-K56)</f>
        <v/>
      </c>
      <c r="M56" s="19" t="str">
        <f aca="false">IF(OR($B56="",J56=""),"",H56+I56-J56)</f>
        <v/>
      </c>
    </row>
    <row r="57" customFormat="false" ht="15" hidden="false" customHeight="false" outlineLevel="0" collapsed="false">
      <c r="A57" s="14"/>
      <c r="B57" s="5"/>
      <c r="C57" s="9"/>
      <c r="D57" s="24" t="str">
        <f aca="false">IF($B57="","",IFERROR(INDEX(Loans!$D$6:$D$65,MATCH($B57,Loans!$A$6:$A$65,0)),""))</f>
        <v/>
      </c>
      <c r="E57" s="24" t="str">
        <f aca="false">IF($B57="","",IF(COUNTIFS($B$5:$B56,$B57)=0,D57,_xlfn.MAXIFS($A$5:$A56,$B$5:$B56,$B57)))</f>
        <v/>
      </c>
      <c r="F57" s="25" t="str">
        <f aca="false">IF(OR($B57="",A57=""),"",MAX(0,A57-E57))</f>
        <v/>
      </c>
      <c r="G57" s="19" t="str">
        <f aca="false">IF($B57="","",IFERROR(INDEX(Loans!$E$6:$E$65,MATCH($B57,Loans!$A$6:$A$65,0)),0)-SUMIFS($K$5:$K56,$B$5:$B56,$B57))</f>
        <v/>
      </c>
      <c r="H57" s="19" t="str">
        <f aca="false">IF(OR($B57="",F57=""),"",ROUND(G57*Start!$B$7*F57/Start!$B$8,2))</f>
        <v/>
      </c>
      <c r="I57" s="19" t="str">
        <f aca="false">IF($B57="","",SUMIFS($H$5:$H56,$B$5:$B56,$B57)-SUMIFS($J$5:$J56,$B$5:$B56,$B57))</f>
        <v/>
      </c>
      <c r="J57" s="19" t="str">
        <f aca="false">IF(OR($B57="",H57=""),"",MIN(C57,H57+I57))</f>
        <v/>
      </c>
      <c r="K57" s="18" t="str">
        <f aca="false">IF(OR($B57="",J57=""),"",MAX(0,MIN(C57-J57,G57)))</f>
        <v/>
      </c>
      <c r="L57" s="18" t="str">
        <f aca="false">IF(OR($B57="",K57=""),"",G57-K57)</f>
        <v/>
      </c>
      <c r="M57" s="19" t="str">
        <f aca="false">IF(OR($B57="",J57=""),"",H57+I57-J57)</f>
        <v/>
      </c>
    </row>
    <row r="58" customFormat="false" ht="15" hidden="false" customHeight="false" outlineLevel="0" collapsed="false">
      <c r="A58" s="14"/>
      <c r="B58" s="5"/>
      <c r="C58" s="9"/>
      <c r="D58" s="24" t="str">
        <f aca="false">IF($B58="","",IFERROR(INDEX(Loans!$D$6:$D$65,MATCH($B58,Loans!$A$6:$A$65,0)),""))</f>
        <v/>
      </c>
      <c r="E58" s="24" t="str">
        <f aca="false">IF($B58="","",IF(COUNTIFS($B$5:$B57,$B58)=0,D58,_xlfn.MAXIFS($A$5:$A57,$B$5:$B57,$B58)))</f>
        <v/>
      </c>
      <c r="F58" s="25" t="str">
        <f aca="false">IF(OR($B58="",A58=""),"",MAX(0,A58-E58))</f>
        <v/>
      </c>
      <c r="G58" s="19" t="str">
        <f aca="false">IF($B58="","",IFERROR(INDEX(Loans!$E$6:$E$65,MATCH($B58,Loans!$A$6:$A$65,0)),0)-SUMIFS($K$5:$K57,$B$5:$B57,$B58))</f>
        <v/>
      </c>
      <c r="H58" s="19" t="str">
        <f aca="false">IF(OR($B58="",F58=""),"",ROUND(G58*Start!$B$7*F58/Start!$B$8,2))</f>
        <v/>
      </c>
      <c r="I58" s="19" t="str">
        <f aca="false">IF($B58="","",SUMIFS($H$5:$H57,$B$5:$B57,$B58)-SUMIFS($J$5:$J57,$B$5:$B57,$B58))</f>
        <v/>
      </c>
      <c r="J58" s="19" t="str">
        <f aca="false">IF(OR($B58="",H58=""),"",MIN(C58,H58+I58))</f>
        <v/>
      </c>
      <c r="K58" s="18" t="str">
        <f aca="false">IF(OR($B58="",J58=""),"",MAX(0,MIN(C58-J58,G58)))</f>
        <v/>
      </c>
      <c r="L58" s="18" t="str">
        <f aca="false">IF(OR($B58="",K58=""),"",G58-K58)</f>
        <v/>
      </c>
      <c r="M58" s="19" t="str">
        <f aca="false">IF(OR($B58="",J58=""),"",H58+I58-J58)</f>
        <v/>
      </c>
    </row>
    <row r="59" customFormat="false" ht="15" hidden="false" customHeight="false" outlineLevel="0" collapsed="false">
      <c r="A59" s="14"/>
      <c r="B59" s="5"/>
      <c r="C59" s="9"/>
      <c r="D59" s="24" t="str">
        <f aca="false">IF($B59="","",IFERROR(INDEX(Loans!$D$6:$D$65,MATCH($B59,Loans!$A$6:$A$65,0)),""))</f>
        <v/>
      </c>
      <c r="E59" s="24" t="str">
        <f aca="false">IF($B59="","",IF(COUNTIFS($B$5:$B58,$B59)=0,D59,_xlfn.MAXIFS($A$5:$A58,$B$5:$B58,$B59)))</f>
        <v/>
      </c>
      <c r="F59" s="25" t="str">
        <f aca="false">IF(OR($B59="",A59=""),"",MAX(0,A59-E59))</f>
        <v/>
      </c>
      <c r="G59" s="19" t="str">
        <f aca="false">IF($B59="","",IFERROR(INDEX(Loans!$E$6:$E$65,MATCH($B59,Loans!$A$6:$A$65,0)),0)-SUMIFS($K$5:$K58,$B$5:$B58,$B59))</f>
        <v/>
      </c>
      <c r="H59" s="19" t="str">
        <f aca="false">IF(OR($B59="",F59=""),"",ROUND(G59*Start!$B$7*F59/Start!$B$8,2))</f>
        <v/>
      </c>
      <c r="I59" s="19" t="str">
        <f aca="false">IF($B59="","",SUMIFS($H$5:$H58,$B$5:$B58,$B59)-SUMIFS($J$5:$J58,$B$5:$B58,$B59))</f>
        <v/>
      </c>
      <c r="J59" s="19" t="str">
        <f aca="false">IF(OR($B59="",H59=""),"",MIN(C59,H59+I59))</f>
        <v/>
      </c>
      <c r="K59" s="18" t="str">
        <f aca="false">IF(OR($B59="",J59=""),"",MAX(0,MIN(C59-J59,G59)))</f>
        <v/>
      </c>
      <c r="L59" s="18" t="str">
        <f aca="false">IF(OR($B59="",K59=""),"",G59-K59)</f>
        <v/>
      </c>
      <c r="M59" s="19" t="str">
        <f aca="false">IF(OR($B59="",J59=""),"",H59+I59-J59)</f>
        <v/>
      </c>
    </row>
    <row r="60" customFormat="false" ht="15" hidden="false" customHeight="false" outlineLevel="0" collapsed="false">
      <c r="A60" s="14"/>
      <c r="B60" s="5"/>
      <c r="C60" s="9"/>
      <c r="D60" s="24" t="str">
        <f aca="false">IF($B60="","",IFERROR(INDEX(Loans!$D$6:$D$65,MATCH($B60,Loans!$A$6:$A$65,0)),""))</f>
        <v/>
      </c>
      <c r="E60" s="24" t="str">
        <f aca="false">IF($B60="","",IF(COUNTIFS($B$5:$B59,$B60)=0,D60,_xlfn.MAXIFS($A$5:$A59,$B$5:$B59,$B60)))</f>
        <v/>
      </c>
      <c r="F60" s="25" t="str">
        <f aca="false">IF(OR($B60="",A60=""),"",MAX(0,A60-E60))</f>
        <v/>
      </c>
      <c r="G60" s="19" t="str">
        <f aca="false">IF($B60="","",IFERROR(INDEX(Loans!$E$6:$E$65,MATCH($B60,Loans!$A$6:$A$65,0)),0)-SUMIFS($K$5:$K59,$B$5:$B59,$B60))</f>
        <v/>
      </c>
      <c r="H60" s="19" t="str">
        <f aca="false">IF(OR($B60="",F60=""),"",ROUND(G60*Start!$B$7*F60/Start!$B$8,2))</f>
        <v/>
      </c>
      <c r="I60" s="19" t="str">
        <f aca="false">IF($B60="","",SUMIFS($H$5:$H59,$B$5:$B59,$B60)-SUMIFS($J$5:$J59,$B$5:$B59,$B60))</f>
        <v/>
      </c>
      <c r="J60" s="19" t="str">
        <f aca="false">IF(OR($B60="",H60=""),"",MIN(C60,H60+I60))</f>
        <v/>
      </c>
      <c r="K60" s="18" t="str">
        <f aca="false">IF(OR($B60="",J60=""),"",MAX(0,MIN(C60-J60,G60)))</f>
        <v/>
      </c>
      <c r="L60" s="18" t="str">
        <f aca="false">IF(OR($B60="",K60=""),"",G60-K60)</f>
        <v/>
      </c>
      <c r="M60" s="19" t="str">
        <f aca="false">IF(OR($B60="",J60=""),"",H60+I60-J60)</f>
        <v/>
      </c>
    </row>
    <row r="61" customFormat="false" ht="15" hidden="false" customHeight="false" outlineLevel="0" collapsed="false">
      <c r="A61" s="14"/>
      <c r="B61" s="5"/>
      <c r="C61" s="9"/>
      <c r="D61" s="24" t="str">
        <f aca="false">IF($B61="","",IFERROR(INDEX(Loans!$D$6:$D$65,MATCH($B61,Loans!$A$6:$A$65,0)),""))</f>
        <v/>
      </c>
      <c r="E61" s="24" t="str">
        <f aca="false">IF($B61="","",IF(COUNTIFS($B$5:$B60,$B61)=0,D61,_xlfn.MAXIFS($A$5:$A60,$B$5:$B60,$B61)))</f>
        <v/>
      </c>
      <c r="F61" s="25" t="str">
        <f aca="false">IF(OR($B61="",A61=""),"",MAX(0,A61-E61))</f>
        <v/>
      </c>
      <c r="G61" s="19" t="str">
        <f aca="false">IF($B61="","",IFERROR(INDEX(Loans!$E$6:$E$65,MATCH($B61,Loans!$A$6:$A$65,0)),0)-SUMIFS($K$5:$K60,$B$5:$B60,$B61))</f>
        <v/>
      </c>
      <c r="H61" s="19" t="str">
        <f aca="false">IF(OR($B61="",F61=""),"",ROUND(G61*Start!$B$7*F61/Start!$B$8,2))</f>
        <v/>
      </c>
      <c r="I61" s="19" t="str">
        <f aca="false">IF($B61="","",SUMIFS($H$5:$H60,$B$5:$B60,$B61)-SUMIFS($J$5:$J60,$B$5:$B60,$B61))</f>
        <v/>
      </c>
      <c r="J61" s="19" t="str">
        <f aca="false">IF(OR($B61="",H61=""),"",MIN(C61,H61+I61))</f>
        <v/>
      </c>
      <c r="K61" s="18" t="str">
        <f aca="false">IF(OR($B61="",J61=""),"",MAX(0,MIN(C61-J61,G61)))</f>
        <v/>
      </c>
      <c r="L61" s="18" t="str">
        <f aca="false">IF(OR($B61="",K61=""),"",G61-K61)</f>
        <v/>
      </c>
      <c r="M61" s="19" t="str">
        <f aca="false">IF(OR($B61="",J61=""),"",H61+I61-J61)</f>
        <v/>
      </c>
    </row>
    <row r="62" customFormat="false" ht="15" hidden="false" customHeight="false" outlineLevel="0" collapsed="false">
      <c r="A62" s="14"/>
      <c r="B62" s="5"/>
      <c r="C62" s="9"/>
      <c r="D62" s="24" t="str">
        <f aca="false">IF($B62="","",IFERROR(INDEX(Loans!$D$6:$D$65,MATCH($B62,Loans!$A$6:$A$65,0)),""))</f>
        <v/>
      </c>
      <c r="E62" s="24" t="str">
        <f aca="false">IF($B62="","",IF(COUNTIFS($B$5:$B61,$B62)=0,D62,_xlfn.MAXIFS($A$5:$A61,$B$5:$B61,$B62)))</f>
        <v/>
      </c>
      <c r="F62" s="25" t="str">
        <f aca="false">IF(OR($B62="",A62=""),"",MAX(0,A62-E62))</f>
        <v/>
      </c>
      <c r="G62" s="19" t="str">
        <f aca="false">IF($B62="","",IFERROR(INDEX(Loans!$E$6:$E$65,MATCH($B62,Loans!$A$6:$A$65,0)),0)-SUMIFS($K$5:$K61,$B$5:$B61,$B62))</f>
        <v/>
      </c>
      <c r="H62" s="19" t="str">
        <f aca="false">IF(OR($B62="",F62=""),"",ROUND(G62*Start!$B$7*F62/Start!$B$8,2))</f>
        <v/>
      </c>
      <c r="I62" s="19" t="str">
        <f aca="false">IF($B62="","",SUMIFS($H$5:$H61,$B$5:$B61,$B62)-SUMIFS($J$5:$J61,$B$5:$B61,$B62))</f>
        <v/>
      </c>
      <c r="J62" s="19" t="str">
        <f aca="false">IF(OR($B62="",H62=""),"",MIN(C62,H62+I62))</f>
        <v/>
      </c>
      <c r="K62" s="18" t="str">
        <f aca="false">IF(OR($B62="",J62=""),"",MAX(0,MIN(C62-J62,G62)))</f>
        <v/>
      </c>
      <c r="L62" s="18" t="str">
        <f aca="false">IF(OR($B62="",K62=""),"",G62-K62)</f>
        <v/>
      </c>
      <c r="M62" s="19" t="str">
        <f aca="false">IF(OR($B62="",J62=""),"",H62+I62-J62)</f>
        <v/>
      </c>
    </row>
    <row r="63" customFormat="false" ht="15" hidden="false" customHeight="false" outlineLevel="0" collapsed="false">
      <c r="A63" s="14"/>
      <c r="B63" s="5"/>
      <c r="C63" s="9"/>
      <c r="D63" s="24" t="str">
        <f aca="false">IF($B63="","",IFERROR(INDEX(Loans!$D$6:$D$65,MATCH($B63,Loans!$A$6:$A$65,0)),""))</f>
        <v/>
      </c>
      <c r="E63" s="24" t="str">
        <f aca="false">IF($B63="","",IF(COUNTIFS($B$5:$B62,$B63)=0,D63,_xlfn.MAXIFS($A$5:$A62,$B$5:$B62,$B63)))</f>
        <v/>
      </c>
      <c r="F63" s="25" t="str">
        <f aca="false">IF(OR($B63="",A63=""),"",MAX(0,A63-E63))</f>
        <v/>
      </c>
      <c r="G63" s="19" t="str">
        <f aca="false">IF($B63="","",IFERROR(INDEX(Loans!$E$6:$E$65,MATCH($B63,Loans!$A$6:$A$65,0)),0)-SUMIFS($K$5:$K62,$B$5:$B62,$B63))</f>
        <v/>
      </c>
      <c r="H63" s="19" t="str">
        <f aca="false">IF(OR($B63="",F63=""),"",ROUND(G63*Start!$B$7*F63/Start!$B$8,2))</f>
        <v/>
      </c>
      <c r="I63" s="19" t="str">
        <f aca="false">IF($B63="","",SUMIFS($H$5:$H62,$B$5:$B62,$B63)-SUMIFS($J$5:$J62,$B$5:$B62,$B63))</f>
        <v/>
      </c>
      <c r="J63" s="19" t="str">
        <f aca="false">IF(OR($B63="",H63=""),"",MIN(C63,H63+I63))</f>
        <v/>
      </c>
      <c r="K63" s="18" t="str">
        <f aca="false">IF(OR($B63="",J63=""),"",MAX(0,MIN(C63-J63,G63)))</f>
        <v/>
      </c>
      <c r="L63" s="18" t="str">
        <f aca="false">IF(OR($B63="",K63=""),"",G63-K63)</f>
        <v/>
      </c>
      <c r="M63" s="19" t="str">
        <f aca="false">IF(OR($B63="",J63=""),"",H63+I63-J63)</f>
        <v/>
      </c>
    </row>
    <row r="64" customFormat="false" ht="15" hidden="false" customHeight="false" outlineLevel="0" collapsed="false">
      <c r="A64" s="14"/>
      <c r="B64" s="5"/>
      <c r="C64" s="9"/>
      <c r="D64" s="24" t="str">
        <f aca="false">IF($B64="","",IFERROR(INDEX(Loans!$D$6:$D$65,MATCH($B64,Loans!$A$6:$A$65,0)),""))</f>
        <v/>
      </c>
      <c r="E64" s="24" t="str">
        <f aca="false">IF($B64="","",IF(COUNTIFS($B$5:$B63,$B64)=0,D64,_xlfn.MAXIFS($A$5:$A63,$B$5:$B63,$B64)))</f>
        <v/>
      </c>
      <c r="F64" s="25" t="str">
        <f aca="false">IF(OR($B64="",A64=""),"",MAX(0,A64-E64))</f>
        <v/>
      </c>
      <c r="G64" s="19" t="str">
        <f aca="false">IF($B64="","",IFERROR(INDEX(Loans!$E$6:$E$65,MATCH($B64,Loans!$A$6:$A$65,0)),0)-SUMIFS($K$5:$K63,$B$5:$B63,$B64))</f>
        <v/>
      </c>
      <c r="H64" s="19" t="str">
        <f aca="false">IF(OR($B64="",F64=""),"",ROUND(G64*Start!$B$7*F64/Start!$B$8,2))</f>
        <v/>
      </c>
      <c r="I64" s="19" t="str">
        <f aca="false">IF($B64="","",SUMIFS($H$5:$H63,$B$5:$B63,$B64)-SUMIFS($J$5:$J63,$B$5:$B63,$B64))</f>
        <v/>
      </c>
      <c r="J64" s="19" t="str">
        <f aca="false">IF(OR($B64="",H64=""),"",MIN(C64,H64+I64))</f>
        <v/>
      </c>
      <c r="K64" s="18" t="str">
        <f aca="false">IF(OR($B64="",J64=""),"",MAX(0,MIN(C64-J64,G64)))</f>
        <v/>
      </c>
      <c r="L64" s="18" t="str">
        <f aca="false">IF(OR($B64="",K64=""),"",G64-K64)</f>
        <v/>
      </c>
      <c r="M64" s="19" t="str">
        <f aca="false">IF(OR($B64="",J64=""),"",H64+I64-J64)</f>
        <v/>
      </c>
    </row>
    <row r="65" customFormat="false" ht="15" hidden="false" customHeight="false" outlineLevel="0" collapsed="false">
      <c r="A65" s="14"/>
      <c r="B65" s="5"/>
      <c r="C65" s="9"/>
      <c r="D65" s="24" t="str">
        <f aca="false">IF($B65="","",IFERROR(INDEX(Loans!$D$6:$D$65,MATCH($B65,Loans!$A$6:$A$65,0)),""))</f>
        <v/>
      </c>
      <c r="E65" s="24" t="str">
        <f aca="false">IF($B65="","",IF(COUNTIFS($B$5:$B64,$B65)=0,D65,_xlfn.MAXIFS($A$5:$A64,$B$5:$B64,$B65)))</f>
        <v/>
      </c>
      <c r="F65" s="25" t="str">
        <f aca="false">IF(OR($B65="",A65=""),"",MAX(0,A65-E65))</f>
        <v/>
      </c>
      <c r="G65" s="19" t="str">
        <f aca="false">IF($B65="","",IFERROR(INDEX(Loans!$E$6:$E$65,MATCH($B65,Loans!$A$6:$A$65,0)),0)-SUMIFS($K$5:$K64,$B$5:$B64,$B65))</f>
        <v/>
      </c>
      <c r="H65" s="19" t="str">
        <f aca="false">IF(OR($B65="",F65=""),"",ROUND(G65*Start!$B$7*F65/Start!$B$8,2))</f>
        <v/>
      </c>
      <c r="I65" s="19" t="str">
        <f aca="false">IF($B65="","",SUMIFS($H$5:$H64,$B$5:$B64,$B65)-SUMIFS($J$5:$J64,$B$5:$B64,$B65))</f>
        <v/>
      </c>
      <c r="J65" s="19" t="str">
        <f aca="false">IF(OR($B65="",H65=""),"",MIN(C65,H65+I65))</f>
        <v/>
      </c>
      <c r="K65" s="18" t="str">
        <f aca="false">IF(OR($B65="",J65=""),"",MAX(0,MIN(C65-J65,G65)))</f>
        <v/>
      </c>
      <c r="L65" s="18" t="str">
        <f aca="false">IF(OR($B65="",K65=""),"",G65-K65)</f>
        <v/>
      </c>
      <c r="M65" s="19" t="str">
        <f aca="false">IF(OR($B65="",J65=""),"",H65+I65-J65)</f>
        <v/>
      </c>
    </row>
    <row r="66" customFormat="false" ht="15" hidden="false" customHeight="false" outlineLevel="0" collapsed="false">
      <c r="A66" s="14"/>
      <c r="B66" s="5"/>
      <c r="C66" s="9"/>
      <c r="D66" s="24" t="str">
        <f aca="false">IF($B66="","",IFERROR(INDEX(Loans!$D$6:$D$65,MATCH($B66,Loans!$A$6:$A$65,0)),""))</f>
        <v/>
      </c>
      <c r="E66" s="24" t="str">
        <f aca="false">IF($B66="","",IF(COUNTIFS($B$5:$B65,$B66)=0,D66,_xlfn.MAXIFS($A$5:$A65,$B$5:$B65,$B66)))</f>
        <v/>
      </c>
      <c r="F66" s="25" t="str">
        <f aca="false">IF(OR($B66="",A66=""),"",MAX(0,A66-E66))</f>
        <v/>
      </c>
      <c r="G66" s="19" t="str">
        <f aca="false">IF($B66="","",IFERROR(INDEX(Loans!$E$6:$E$65,MATCH($B66,Loans!$A$6:$A$65,0)),0)-SUMIFS($K$5:$K65,$B$5:$B65,$B66))</f>
        <v/>
      </c>
      <c r="H66" s="19" t="str">
        <f aca="false">IF(OR($B66="",F66=""),"",ROUND(G66*Start!$B$7*F66/Start!$B$8,2))</f>
        <v/>
      </c>
      <c r="I66" s="19" t="str">
        <f aca="false">IF($B66="","",SUMIFS($H$5:$H65,$B$5:$B65,$B66)-SUMIFS($J$5:$J65,$B$5:$B65,$B66))</f>
        <v/>
      </c>
      <c r="J66" s="19" t="str">
        <f aca="false">IF(OR($B66="",H66=""),"",MIN(C66,H66+I66))</f>
        <v/>
      </c>
      <c r="K66" s="18" t="str">
        <f aca="false">IF(OR($B66="",J66=""),"",MAX(0,MIN(C66-J66,G66)))</f>
        <v/>
      </c>
      <c r="L66" s="18" t="str">
        <f aca="false">IF(OR($B66="",K66=""),"",G66-K66)</f>
        <v/>
      </c>
      <c r="M66" s="19" t="str">
        <f aca="false">IF(OR($B66="",J66=""),"",H66+I66-J66)</f>
        <v/>
      </c>
    </row>
    <row r="67" customFormat="false" ht="15" hidden="false" customHeight="false" outlineLevel="0" collapsed="false">
      <c r="A67" s="14"/>
      <c r="B67" s="5"/>
      <c r="C67" s="9"/>
      <c r="D67" s="24" t="str">
        <f aca="false">IF($B67="","",IFERROR(INDEX(Loans!$D$6:$D$65,MATCH($B67,Loans!$A$6:$A$65,0)),""))</f>
        <v/>
      </c>
      <c r="E67" s="24" t="str">
        <f aca="false">IF($B67="","",IF(COUNTIFS($B$5:$B66,$B67)=0,D67,_xlfn.MAXIFS($A$5:$A66,$B$5:$B66,$B67)))</f>
        <v/>
      </c>
      <c r="F67" s="25" t="str">
        <f aca="false">IF(OR($B67="",A67=""),"",MAX(0,A67-E67))</f>
        <v/>
      </c>
      <c r="G67" s="19" t="str">
        <f aca="false">IF($B67="","",IFERROR(INDEX(Loans!$E$6:$E$65,MATCH($B67,Loans!$A$6:$A$65,0)),0)-SUMIFS($K$5:$K66,$B$5:$B66,$B67))</f>
        <v/>
      </c>
      <c r="H67" s="19" t="str">
        <f aca="false">IF(OR($B67="",F67=""),"",ROUND(G67*Start!$B$7*F67/Start!$B$8,2))</f>
        <v/>
      </c>
      <c r="I67" s="19" t="str">
        <f aca="false">IF($B67="","",SUMIFS($H$5:$H66,$B$5:$B66,$B67)-SUMIFS($J$5:$J66,$B$5:$B66,$B67))</f>
        <v/>
      </c>
      <c r="J67" s="19" t="str">
        <f aca="false">IF(OR($B67="",H67=""),"",MIN(C67,H67+I67))</f>
        <v/>
      </c>
      <c r="K67" s="18" t="str">
        <f aca="false">IF(OR($B67="",J67=""),"",MAX(0,MIN(C67-J67,G67)))</f>
        <v/>
      </c>
      <c r="L67" s="18" t="str">
        <f aca="false">IF(OR($B67="",K67=""),"",G67-K67)</f>
        <v/>
      </c>
      <c r="M67" s="19" t="str">
        <f aca="false">IF(OR($B67="",J67=""),"",H67+I67-J67)</f>
        <v/>
      </c>
    </row>
    <row r="68" customFormat="false" ht="15" hidden="false" customHeight="false" outlineLevel="0" collapsed="false">
      <c r="A68" s="14"/>
      <c r="B68" s="5"/>
      <c r="C68" s="9"/>
      <c r="D68" s="24" t="str">
        <f aca="false">IF($B68="","",IFERROR(INDEX(Loans!$D$6:$D$65,MATCH($B68,Loans!$A$6:$A$65,0)),""))</f>
        <v/>
      </c>
      <c r="E68" s="24" t="str">
        <f aca="false">IF($B68="","",IF(COUNTIFS($B$5:$B67,$B68)=0,D68,_xlfn.MAXIFS($A$5:$A67,$B$5:$B67,$B68)))</f>
        <v/>
      </c>
      <c r="F68" s="25" t="str">
        <f aca="false">IF(OR($B68="",A68=""),"",MAX(0,A68-E68))</f>
        <v/>
      </c>
      <c r="G68" s="19" t="str">
        <f aca="false">IF($B68="","",IFERROR(INDEX(Loans!$E$6:$E$65,MATCH($B68,Loans!$A$6:$A$65,0)),0)-SUMIFS($K$5:$K67,$B$5:$B67,$B68))</f>
        <v/>
      </c>
      <c r="H68" s="19" t="str">
        <f aca="false">IF(OR($B68="",F68=""),"",ROUND(G68*Start!$B$7*F68/Start!$B$8,2))</f>
        <v/>
      </c>
      <c r="I68" s="19" t="str">
        <f aca="false">IF($B68="","",SUMIFS($H$5:$H67,$B$5:$B67,$B68)-SUMIFS($J$5:$J67,$B$5:$B67,$B68))</f>
        <v/>
      </c>
      <c r="J68" s="19" t="str">
        <f aca="false">IF(OR($B68="",H68=""),"",MIN(C68,H68+I68))</f>
        <v/>
      </c>
      <c r="K68" s="18" t="str">
        <f aca="false">IF(OR($B68="",J68=""),"",MAX(0,MIN(C68-J68,G68)))</f>
        <v/>
      </c>
      <c r="L68" s="18" t="str">
        <f aca="false">IF(OR($B68="",K68=""),"",G68-K68)</f>
        <v/>
      </c>
      <c r="M68" s="19" t="str">
        <f aca="false">IF(OR($B68="",J68=""),"",H68+I68-J68)</f>
        <v/>
      </c>
    </row>
    <row r="69" customFormat="false" ht="15" hidden="false" customHeight="false" outlineLevel="0" collapsed="false">
      <c r="A69" s="14"/>
      <c r="B69" s="5"/>
      <c r="C69" s="9"/>
      <c r="D69" s="24" t="str">
        <f aca="false">IF($B69="","",IFERROR(INDEX(Loans!$D$6:$D$65,MATCH($B69,Loans!$A$6:$A$65,0)),""))</f>
        <v/>
      </c>
      <c r="E69" s="24" t="str">
        <f aca="false">IF($B69="","",IF(COUNTIFS($B$5:$B68,$B69)=0,D69,_xlfn.MAXIFS($A$5:$A68,$B$5:$B68,$B69)))</f>
        <v/>
      </c>
      <c r="F69" s="25" t="str">
        <f aca="false">IF(OR($B69="",A69=""),"",MAX(0,A69-E69))</f>
        <v/>
      </c>
      <c r="G69" s="19" t="str">
        <f aca="false">IF($B69="","",IFERROR(INDEX(Loans!$E$6:$E$65,MATCH($B69,Loans!$A$6:$A$65,0)),0)-SUMIFS($K$5:$K68,$B$5:$B68,$B69))</f>
        <v/>
      </c>
      <c r="H69" s="19" t="str">
        <f aca="false">IF(OR($B69="",F69=""),"",ROUND(G69*Start!$B$7*F69/Start!$B$8,2))</f>
        <v/>
      </c>
      <c r="I69" s="19" t="str">
        <f aca="false">IF($B69="","",SUMIFS($H$5:$H68,$B$5:$B68,$B69)-SUMIFS($J$5:$J68,$B$5:$B68,$B69))</f>
        <v/>
      </c>
      <c r="J69" s="19" t="str">
        <f aca="false">IF(OR($B69="",H69=""),"",MIN(C69,H69+I69))</f>
        <v/>
      </c>
      <c r="K69" s="18" t="str">
        <f aca="false">IF(OR($B69="",J69=""),"",MAX(0,MIN(C69-J69,G69)))</f>
        <v/>
      </c>
      <c r="L69" s="18" t="str">
        <f aca="false">IF(OR($B69="",K69=""),"",G69-K69)</f>
        <v/>
      </c>
      <c r="M69" s="19" t="str">
        <f aca="false">IF(OR($B69="",J69=""),"",H69+I69-J69)</f>
        <v/>
      </c>
    </row>
    <row r="70" customFormat="false" ht="15" hidden="false" customHeight="false" outlineLevel="0" collapsed="false">
      <c r="A70" s="14"/>
      <c r="B70" s="5"/>
      <c r="C70" s="9"/>
      <c r="D70" s="24" t="str">
        <f aca="false">IF($B70="","",IFERROR(INDEX(Loans!$D$6:$D$65,MATCH($B70,Loans!$A$6:$A$65,0)),""))</f>
        <v/>
      </c>
      <c r="E70" s="24" t="str">
        <f aca="false">IF($B70="","",IF(COUNTIFS($B$5:$B69,$B70)=0,D70,_xlfn.MAXIFS($A$5:$A69,$B$5:$B69,$B70)))</f>
        <v/>
      </c>
      <c r="F70" s="25" t="str">
        <f aca="false">IF(OR($B70="",A70=""),"",MAX(0,A70-E70))</f>
        <v/>
      </c>
      <c r="G70" s="19" t="str">
        <f aca="false">IF($B70="","",IFERROR(INDEX(Loans!$E$6:$E$65,MATCH($B70,Loans!$A$6:$A$65,0)),0)-SUMIFS($K$5:$K69,$B$5:$B69,$B70))</f>
        <v/>
      </c>
      <c r="H70" s="19" t="str">
        <f aca="false">IF(OR($B70="",F70=""),"",ROUND(G70*Start!$B$7*F70/Start!$B$8,2))</f>
        <v/>
      </c>
      <c r="I70" s="19" t="str">
        <f aca="false">IF($B70="","",SUMIFS($H$5:$H69,$B$5:$B69,$B70)-SUMIFS($J$5:$J69,$B$5:$B69,$B70))</f>
        <v/>
      </c>
      <c r="J70" s="19" t="str">
        <f aca="false">IF(OR($B70="",H70=""),"",MIN(C70,H70+I70))</f>
        <v/>
      </c>
      <c r="K70" s="18" t="str">
        <f aca="false">IF(OR($B70="",J70=""),"",MAX(0,MIN(C70-J70,G70)))</f>
        <v/>
      </c>
      <c r="L70" s="18" t="str">
        <f aca="false">IF(OR($B70="",K70=""),"",G70-K70)</f>
        <v/>
      </c>
      <c r="M70" s="19" t="str">
        <f aca="false">IF(OR($B70="",J70=""),"",H70+I70-J70)</f>
        <v/>
      </c>
    </row>
    <row r="71" customFormat="false" ht="15" hidden="false" customHeight="false" outlineLevel="0" collapsed="false">
      <c r="A71" s="14"/>
      <c r="B71" s="5"/>
      <c r="C71" s="9"/>
      <c r="D71" s="24" t="str">
        <f aca="false">IF($B71="","",IFERROR(INDEX(Loans!$D$6:$D$65,MATCH($B71,Loans!$A$6:$A$65,0)),""))</f>
        <v/>
      </c>
      <c r="E71" s="24" t="str">
        <f aca="false">IF($B71="","",IF(COUNTIFS($B$5:$B70,$B71)=0,D71,_xlfn.MAXIFS($A$5:$A70,$B$5:$B70,$B71)))</f>
        <v/>
      </c>
      <c r="F71" s="25" t="str">
        <f aca="false">IF(OR($B71="",A71=""),"",MAX(0,A71-E71))</f>
        <v/>
      </c>
      <c r="G71" s="19" t="str">
        <f aca="false">IF($B71="","",IFERROR(INDEX(Loans!$E$6:$E$65,MATCH($B71,Loans!$A$6:$A$65,0)),0)-SUMIFS($K$5:$K70,$B$5:$B70,$B71))</f>
        <v/>
      </c>
      <c r="H71" s="19" t="str">
        <f aca="false">IF(OR($B71="",F71=""),"",ROUND(G71*Start!$B$7*F71/Start!$B$8,2))</f>
        <v/>
      </c>
      <c r="I71" s="19" t="str">
        <f aca="false">IF($B71="","",SUMIFS($H$5:$H70,$B$5:$B70,$B71)-SUMIFS($J$5:$J70,$B$5:$B70,$B71))</f>
        <v/>
      </c>
      <c r="J71" s="19" t="str">
        <f aca="false">IF(OR($B71="",H71=""),"",MIN(C71,H71+I71))</f>
        <v/>
      </c>
      <c r="K71" s="18" t="str">
        <f aca="false">IF(OR($B71="",J71=""),"",MAX(0,MIN(C71-J71,G71)))</f>
        <v/>
      </c>
      <c r="L71" s="18" t="str">
        <f aca="false">IF(OR($B71="",K71=""),"",G71-K71)</f>
        <v/>
      </c>
      <c r="M71" s="19" t="str">
        <f aca="false">IF(OR($B71="",J71=""),"",H71+I71-J71)</f>
        <v/>
      </c>
    </row>
    <row r="72" customFormat="false" ht="15" hidden="false" customHeight="false" outlineLevel="0" collapsed="false">
      <c r="A72" s="14"/>
      <c r="B72" s="5"/>
      <c r="C72" s="9"/>
      <c r="D72" s="24" t="str">
        <f aca="false">IF($B72="","",IFERROR(INDEX(Loans!$D$6:$D$65,MATCH($B72,Loans!$A$6:$A$65,0)),""))</f>
        <v/>
      </c>
      <c r="E72" s="24" t="str">
        <f aca="false">IF($B72="","",IF(COUNTIFS($B$5:$B71,$B72)=0,D72,_xlfn.MAXIFS($A$5:$A71,$B$5:$B71,$B72)))</f>
        <v/>
      </c>
      <c r="F72" s="25" t="str">
        <f aca="false">IF(OR($B72="",A72=""),"",MAX(0,A72-E72))</f>
        <v/>
      </c>
      <c r="G72" s="19" t="str">
        <f aca="false">IF($B72="","",IFERROR(INDEX(Loans!$E$6:$E$65,MATCH($B72,Loans!$A$6:$A$65,0)),0)-SUMIFS($K$5:$K71,$B$5:$B71,$B72))</f>
        <v/>
      </c>
      <c r="H72" s="19" t="str">
        <f aca="false">IF(OR($B72="",F72=""),"",ROUND(G72*Start!$B$7*F72/Start!$B$8,2))</f>
        <v/>
      </c>
      <c r="I72" s="19" t="str">
        <f aca="false">IF($B72="","",SUMIFS($H$5:$H71,$B$5:$B71,$B72)-SUMIFS($J$5:$J71,$B$5:$B71,$B72))</f>
        <v/>
      </c>
      <c r="J72" s="19" t="str">
        <f aca="false">IF(OR($B72="",H72=""),"",MIN(C72,H72+I72))</f>
        <v/>
      </c>
      <c r="K72" s="18" t="str">
        <f aca="false">IF(OR($B72="",J72=""),"",MAX(0,MIN(C72-J72,G72)))</f>
        <v/>
      </c>
      <c r="L72" s="18" t="str">
        <f aca="false">IF(OR($B72="",K72=""),"",G72-K72)</f>
        <v/>
      </c>
      <c r="M72" s="19" t="str">
        <f aca="false">IF(OR($B72="",J72=""),"",H72+I72-J72)</f>
        <v/>
      </c>
    </row>
    <row r="73" customFormat="false" ht="15" hidden="false" customHeight="false" outlineLevel="0" collapsed="false">
      <c r="A73" s="14"/>
      <c r="B73" s="5"/>
      <c r="C73" s="9"/>
      <c r="D73" s="24" t="str">
        <f aca="false">IF($B73="","",IFERROR(INDEX(Loans!$D$6:$D$65,MATCH($B73,Loans!$A$6:$A$65,0)),""))</f>
        <v/>
      </c>
      <c r="E73" s="24" t="str">
        <f aca="false">IF($B73="","",IF(COUNTIFS($B$5:$B72,$B73)=0,D73,_xlfn.MAXIFS($A$5:$A72,$B$5:$B72,$B73)))</f>
        <v/>
      </c>
      <c r="F73" s="25" t="str">
        <f aca="false">IF(OR($B73="",A73=""),"",MAX(0,A73-E73))</f>
        <v/>
      </c>
      <c r="G73" s="19" t="str">
        <f aca="false">IF($B73="","",IFERROR(INDEX(Loans!$E$6:$E$65,MATCH($B73,Loans!$A$6:$A$65,0)),0)-SUMIFS($K$5:$K72,$B$5:$B72,$B73))</f>
        <v/>
      </c>
      <c r="H73" s="19" t="str">
        <f aca="false">IF(OR($B73="",F73=""),"",ROUND(G73*Start!$B$7*F73/Start!$B$8,2))</f>
        <v/>
      </c>
      <c r="I73" s="19" t="str">
        <f aca="false">IF($B73="","",SUMIFS($H$5:$H72,$B$5:$B72,$B73)-SUMIFS($J$5:$J72,$B$5:$B72,$B73))</f>
        <v/>
      </c>
      <c r="J73" s="19" t="str">
        <f aca="false">IF(OR($B73="",H73=""),"",MIN(C73,H73+I73))</f>
        <v/>
      </c>
      <c r="K73" s="18" t="str">
        <f aca="false">IF(OR($B73="",J73=""),"",MAX(0,MIN(C73-J73,G73)))</f>
        <v/>
      </c>
      <c r="L73" s="18" t="str">
        <f aca="false">IF(OR($B73="",K73=""),"",G73-K73)</f>
        <v/>
      </c>
      <c r="M73" s="19" t="str">
        <f aca="false">IF(OR($B73="",J73=""),"",H73+I73-J73)</f>
        <v/>
      </c>
    </row>
    <row r="74" customFormat="false" ht="15" hidden="false" customHeight="false" outlineLevel="0" collapsed="false">
      <c r="A74" s="14"/>
      <c r="B74" s="5"/>
      <c r="C74" s="9"/>
      <c r="D74" s="24" t="str">
        <f aca="false">IF($B74="","",IFERROR(INDEX(Loans!$D$6:$D$65,MATCH($B74,Loans!$A$6:$A$65,0)),""))</f>
        <v/>
      </c>
      <c r="E74" s="24" t="str">
        <f aca="false">IF($B74="","",IF(COUNTIFS($B$5:$B73,$B74)=0,D74,_xlfn.MAXIFS($A$5:$A73,$B$5:$B73,$B74)))</f>
        <v/>
      </c>
      <c r="F74" s="25" t="str">
        <f aca="false">IF(OR($B74="",A74=""),"",MAX(0,A74-E74))</f>
        <v/>
      </c>
      <c r="G74" s="19" t="str">
        <f aca="false">IF($B74="","",IFERROR(INDEX(Loans!$E$6:$E$65,MATCH($B74,Loans!$A$6:$A$65,0)),0)-SUMIFS($K$5:$K73,$B$5:$B73,$B74))</f>
        <v/>
      </c>
      <c r="H74" s="19" t="str">
        <f aca="false">IF(OR($B74="",F74=""),"",ROUND(G74*Start!$B$7*F74/Start!$B$8,2))</f>
        <v/>
      </c>
      <c r="I74" s="19" t="str">
        <f aca="false">IF($B74="","",SUMIFS($H$5:$H73,$B$5:$B73,$B74)-SUMIFS($J$5:$J73,$B$5:$B73,$B74))</f>
        <v/>
      </c>
      <c r="J74" s="19" t="str">
        <f aca="false">IF(OR($B74="",H74=""),"",MIN(C74,H74+I74))</f>
        <v/>
      </c>
      <c r="K74" s="18" t="str">
        <f aca="false">IF(OR($B74="",J74=""),"",MAX(0,MIN(C74-J74,G74)))</f>
        <v/>
      </c>
      <c r="L74" s="18" t="str">
        <f aca="false">IF(OR($B74="",K74=""),"",G74-K74)</f>
        <v/>
      </c>
      <c r="M74" s="19" t="str">
        <f aca="false">IF(OR($B74="",J74=""),"",H74+I74-J74)</f>
        <v/>
      </c>
    </row>
    <row r="75" customFormat="false" ht="15" hidden="false" customHeight="false" outlineLevel="0" collapsed="false">
      <c r="A75" s="14"/>
      <c r="B75" s="5"/>
      <c r="C75" s="9"/>
      <c r="D75" s="24" t="str">
        <f aca="false">IF($B75="","",IFERROR(INDEX(Loans!$D$6:$D$65,MATCH($B75,Loans!$A$6:$A$65,0)),""))</f>
        <v/>
      </c>
      <c r="E75" s="24" t="str">
        <f aca="false">IF($B75="","",IF(COUNTIFS($B$5:$B74,$B75)=0,D75,_xlfn.MAXIFS($A$5:$A74,$B$5:$B74,$B75)))</f>
        <v/>
      </c>
      <c r="F75" s="25" t="str">
        <f aca="false">IF(OR($B75="",A75=""),"",MAX(0,A75-E75))</f>
        <v/>
      </c>
      <c r="G75" s="19" t="str">
        <f aca="false">IF($B75="","",IFERROR(INDEX(Loans!$E$6:$E$65,MATCH($B75,Loans!$A$6:$A$65,0)),0)-SUMIFS($K$5:$K74,$B$5:$B74,$B75))</f>
        <v/>
      </c>
      <c r="H75" s="19" t="str">
        <f aca="false">IF(OR($B75="",F75=""),"",ROUND(G75*Start!$B$7*F75/Start!$B$8,2))</f>
        <v/>
      </c>
      <c r="I75" s="19" t="str">
        <f aca="false">IF($B75="","",SUMIFS($H$5:$H74,$B$5:$B74,$B75)-SUMIFS($J$5:$J74,$B$5:$B74,$B75))</f>
        <v/>
      </c>
      <c r="J75" s="19" t="str">
        <f aca="false">IF(OR($B75="",H75=""),"",MIN(C75,H75+I75))</f>
        <v/>
      </c>
      <c r="K75" s="18" t="str">
        <f aca="false">IF(OR($B75="",J75=""),"",MAX(0,MIN(C75-J75,G75)))</f>
        <v/>
      </c>
      <c r="L75" s="18" t="str">
        <f aca="false">IF(OR($B75="",K75=""),"",G75-K75)</f>
        <v/>
      </c>
      <c r="M75" s="19" t="str">
        <f aca="false">IF(OR($B75="",J75=""),"",H75+I75-J75)</f>
        <v/>
      </c>
    </row>
    <row r="76" customFormat="false" ht="15" hidden="false" customHeight="false" outlineLevel="0" collapsed="false">
      <c r="A76" s="14"/>
      <c r="B76" s="5"/>
      <c r="C76" s="9"/>
      <c r="D76" s="24" t="str">
        <f aca="false">IF($B76="","",IFERROR(INDEX(Loans!$D$6:$D$65,MATCH($B76,Loans!$A$6:$A$65,0)),""))</f>
        <v/>
      </c>
      <c r="E76" s="24" t="str">
        <f aca="false">IF($B76="","",IF(COUNTIFS($B$5:$B75,$B76)=0,D76,_xlfn.MAXIFS($A$5:$A75,$B$5:$B75,$B76)))</f>
        <v/>
      </c>
      <c r="F76" s="25" t="str">
        <f aca="false">IF(OR($B76="",A76=""),"",MAX(0,A76-E76))</f>
        <v/>
      </c>
      <c r="G76" s="19" t="str">
        <f aca="false">IF($B76="","",IFERROR(INDEX(Loans!$E$6:$E$65,MATCH($B76,Loans!$A$6:$A$65,0)),0)-SUMIFS($K$5:$K75,$B$5:$B75,$B76))</f>
        <v/>
      </c>
      <c r="H76" s="19" t="str">
        <f aca="false">IF(OR($B76="",F76=""),"",ROUND(G76*Start!$B$7*F76/Start!$B$8,2))</f>
        <v/>
      </c>
      <c r="I76" s="19" t="str">
        <f aca="false">IF($B76="","",SUMIFS($H$5:$H75,$B$5:$B75,$B76)-SUMIFS($J$5:$J75,$B$5:$B75,$B76))</f>
        <v/>
      </c>
      <c r="J76" s="19" t="str">
        <f aca="false">IF(OR($B76="",H76=""),"",MIN(C76,H76+I76))</f>
        <v/>
      </c>
      <c r="K76" s="18" t="str">
        <f aca="false">IF(OR($B76="",J76=""),"",MAX(0,MIN(C76-J76,G76)))</f>
        <v/>
      </c>
      <c r="L76" s="18" t="str">
        <f aca="false">IF(OR($B76="",K76=""),"",G76-K76)</f>
        <v/>
      </c>
      <c r="M76" s="19" t="str">
        <f aca="false">IF(OR($B76="",J76=""),"",H76+I76-J76)</f>
        <v/>
      </c>
    </row>
    <row r="77" customFormat="false" ht="15" hidden="false" customHeight="false" outlineLevel="0" collapsed="false">
      <c r="A77" s="14"/>
      <c r="B77" s="5"/>
      <c r="C77" s="9"/>
      <c r="D77" s="24" t="str">
        <f aca="false">IF($B77="","",IFERROR(INDEX(Loans!$D$6:$D$65,MATCH($B77,Loans!$A$6:$A$65,0)),""))</f>
        <v/>
      </c>
      <c r="E77" s="24" t="str">
        <f aca="false">IF($B77="","",IF(COUNTIFS($B$5:$B76,$B77)=0,D77,_xlfn.MAXIFS($A$5:$A76,$B$5:$B76,$B77)))</f>
        <v/>
      </c>
      <c r="F77" s="25" t="str">
        <f aca="false">IF(OR($B77="",A77=""),"",MAX(0,A77-E77))</f>
        <v/>
      </c>
      <c r="G77" s="19" t="str">
        <f aca="false">IF($B77="","",IFERROR(INDEX(Loans!$E$6:$E$65,MATCH($B77,Loans!$A$6:$A$65,0)),0)-SUMIFS($K$5:$K76,$B$5:$B76,$B77))</f>
        <v/>
      </c>
      <c r="H77" s="19" t="str">
        <f aca="false">IF(OR($B77="",F77=""),"",ROUND(G77*Start!$B$7*F77/Start!$B$8,2))</f>
        <v/>
      </c>
      <c r="I77" s="19" t="str">
        <f aca="false">IF($B77="","",SUMIFS($H$5:$H76,$B$5:$B76,$B77)-SUMIFS($J$5:$J76,$B$5:$B76,$B77))</f>
        <v/>
      </c>
      <c r="J77" s="19" t="str">
        <f aca="false">IF(OR($B77="",H77=""),"",MIN(C77,H77+I77))</f>
        <v/>
      </c>
      <c r="K77" s="18" t="str">
        <f aca="false">IF(OR($B77="",J77=""),"",MAX(0,MIN(C77-J77,G77)))</f>
        <v/>
      </c>
      <c r="L77" s="18" t="str">
        <f aca="false">IF(OR($B77="",K77=""),"",G77-K77)</f>
        <v/>
      </c>
      <c r="M77" s="19" t="str">
        <f aca="false">IF(OR($B77="",J77=""),"",H77+I77-J77)</f>
        <v/>
      </c>
    </row>
    <row r="78" customFormat="false" ht="15" hidden="false" customHeight="false" outlineLevel="0" collapsed="false">
      <c r="A78" s="14"/>
      <c r="B78" s="5"/>
      <c r="C78" s="9"/>
      <c r="D78" s="24" t="str">
        <f aca="false">IF($B78="","",IFERROR(INDEX(Loans!$D$6:$D$65,MATCH($B78,Loans!$A$6:$A$65,0)),""))</f>
        <v/>
      </c>
      <c r="E78" s="24" t="str">
        <f aca="false">IF($B78="","",IF(COUNTIFS($B$5:$B77,$B78)=0,D78,_xlfn.MAXIFS($A$5:$A77,$B$5:$B77,$B78)))</f>
        <v/>
      </c>
      <c r="F78" s="25" t="str">
        <f aca="false">IF(OR($B78="",A78=""),"",MAX(0,A78-E78))</f>
        <v/>
      </c>
      <c r="G78" s="19" t="str">
        <f aca="false">IF($B78="","",IFERROR(INDEX(Loans!$E$6:$E$65,MATCH($B78,Loans!$A$6:$A$65,0)),0)-SUMIFS($K$5:$K77,$B$5:$B77,$B78))</f>
        <v/>
      </c>
      <c r="H78" s="19" t="str">
        <f aca="false">IF(OR($B78="",F78=""),"",ROUND(G78*Start!$B$7*F78/Start!$B$8,2))</f>
        <v/>
      </c>
      <c r="I78" s="19" t="str">
        <f aca="false">IF($B78="","",SUMIFS($H$5:$H77,$B$5:$B77,$B78)-SUMIFS($J$5:$J77,$B$5:$B77,$B78))</f>
        <v/>
      </c>
      <c r="J78" s="19" t="str">
        <f aca="false">IF(OR($B78="",H78=""),"",MIN(C78,H78+I78))</f>
        <v/>
      </c>
      <c r="K78" s="18" t="str">
        <f aca="false">IF(OR($B78="",J78=""),"",MAX(0,MIN(C78-J78,G78)))</f>
        <v/>
      </c>
      <c r="L78" s="18" t="str">
        <f aca="false">IF(OR($B78="",K78=""),"",G78-K78)</f>
        <v/>
      </c>
      <c r="M78" s="19" t="str">
        <f aca="false">IF(OR($B78="",J78=""),"",H78+I78-J78)</f>
        <v/>
      </c>
    </row>
    <row r="79" customFormat="false" ht="15" hidden="false" customHeight="false" outlineLevel="0" collapsed="false">
      <c r="A79" s="14"/>
      <c r="B79" s="5"/>
      <c r="C79" s="9"/>
      <c r="D79" s="24" t="str">
        <f aca="false">IF($B79="","",IFERROR(INDEX(Loans!$D$6:$D$65,MATCH($B79,Loans!$A$6:$A$65,0)),""))</f>
        <v/>
      </c>
      <c r="E79" s="24" t="str">
        <f aca="false">IF($B79="","",IF(COUNTIFS($B$5:$B78,$B79)=0,D79,_xlfn.MAXIFS($A$5:$A78,$B$5:$B78,$B79)))</f>
        <v/>
      </c>
      <c r="F79" s="25" t="str">
        <f aca="false">IF(OR($B79="",A79=""),"",MAX(0,A79-E79))</f>
        <v/>
      </c>
      <c r="G79" s="19" t="str">
        <f aca="false">IF($B79="","",IFERROR(INDEX(Loans!$E$6:$E$65,MATCH($B79,Loans!$A$6:$A$65,0)),0)-SUMIFS($K$5:$K78,$B$5:$B78,$B79))</f>
        <v/>
      </c>
      <c r="H79" s="19" t="str">
        <f aca="false">IF(OR($B79="",F79=""),"",ROUND(G79*Start!$B$7*F79/Start!$B$8,2))</f>
        <v/>
      </c>
      <c r="I79" s="19" t="str">
        <f aca="false">IF($B79="","",SUMIFS($H$5:$H78,$B$5:$B78,$B79)-SUMIFS($J$5:$J78,$B$5:$B78,$B79))</f>
        <v/>
      </c>
      <c r="J79" s="19" t="str">
        <f aca="false">IF(OR($B79="",H79=""),"",MIN(C79,H79+I79))</f>
        <v/>
      </c>
      <c r="K79" s="18" t="str">
        <f aca="false">IF(OR($B79="",J79=""),"",MAX(0,MIN(C79-J79,G79)))</f>
        <v/>
      </c>
      <c r="L79" s="18" t="str">
        <f aca="false">IF(OR($B79="",K79=""),"",G79-K79)</f>
        <v/>
      </c>
      <c r="M79" s="19" t="str">
        <f aca="false">IF(OR($B79="",J79=""),"",H79+I79-J79)</f>
        <v/>
      </c>
    </row>
    <row r="80" customFormat="false" ht="15" hidden="false" customHeight="false" outlineLevel="0" collapsed="false">
      <c r="A80" s="14"/>
      <c r="B80" s="5"/>
      <c r="C80" s="9"/>
      <c r="D80" s="24" t="str">
        <f aca="false">IF($B80="","",IFERROR(INDEX(Loans!$D$6:$D$65,MATCH($B80,Loans!$A$6:$A$65,0)),""))</f>
        <v/>
      </c>
      <c r="E80" s="24" t="str">
        <f aca="false">IF($B80="","",IF(COUNTIFS($B$5:$B79,$B80)=0,D80,_xlfn.MAXIFS($A$5:$A79,$B$5:$B79,$B80)))</f>
        <v/>
      </c>
      <c r="F80" s="25" t="str">
        <f aca="false">IF(OR($B80="",A80=""),"",MAX(0,A80-E80))</f>
        <v/>
      </c>
      <c r="G80" s="19" t="str">
        <f aca="false">IF($B80="","",IFERROR(INDEX(Loans!$E$6:$E$65,MATCH($B80,Loans!$A$6:$A$65,0)),0)-SUMIFS($K$5:$K79,$B$5:$B79,$B80))</f>
        <v/>
      </c>
      <c r="H80" s="19" t="str">
        <f aca="false">IF(OR($B80="",F80=""),"",ROUND(G80*Start!$B$7*F80/Start!$B$8,2))</f>
        <v/>
      </c>
      <c r="I80" s="19" t="str">
        <f aca="false">IF($B80="","",SUMIFS($H$5:$H79,$B$5:$B79,$B80)-SUMIFS($J$5:$J79,$B$5:$B79,$B80))</f>
        <v/>
      </c>
      <c r="J80" s="19" t="str">
        <f aca="false">IF(OR($B80="",H80=""),"",MIN(C80,H80+I80))</f>
        <v/>
      </c>
      <c r="K80" s="18" t="str">
        <f aca="false">IF(OR($B80="",J80=""),"",MAX(0,MIN(C80-J80,G80)))</f>
        <v/>
      </c>
      <c r="L80" s="18" t="str">
        <f aca="false">IF(OR($B80="",K80=""),"",G80-K80)</f>
        <v/>
      </c>
      <c r="M80" s="19" t="str">
        <f aca="false">IF(OR($B80="",J80=""),"",H80+I80-J80)</f>
        <v/>
      </c>
    </row>
    <row r="81" customFormat="false" ht="15" hidden="false" customHeight="false" outlineLevel="0" collapsed="false">
      <c r="A81" s="14"/>
      <c r="B81" s="5"/>
      <c r="C81" s="9"/>
      <c r="D81" s="24" t="str">
        <f aca="false">IF($B81="","",IFERROR(INDEX(Loans!$D$6:$D$65,MATCH($B81,Loans!$A$6:$A$65,0)),""))</f>
        <v/>
      </c>
      <c r="E81" s="24" t="str">
        <f aca="false">IF($B81="","",IF(COUNTIFS($B$5:$B80,$B81)=0,D81,_xlfn.MAXIFS($A$5:$A80,$B$5:$B80,$B81)))</f>
        <v/>
      </c>
      <c r="F81" s="25" t="str">
        <f aca="false">IF(OR($B81="",A81=""),"",MAX(0,A81-E81))</f>
        <v/>
      </c>
      <c r="G81" s="19" t="str">
        <f aca="false">IF($B81="","",IFERROR(INDEX(Loans!$E$6:$E$65,MATCH($B81,Loans!$A$6:$A$65,0)),0)-SUMIFS($K$5:$K80,$B$5:$B80,$B81))</f>
        <v/>
      </c>
      <c r="H81" s="19" t="str">
        <f aca="false">IF(OR($B81="",F81=""),"",ROUND(G81*Start!$B$7*F81/Start!$B$8,2))</f>
        <v/>
      </c>
      <c r="I81" s="19" t="str">
        <f aca="false">IF($B81="","",SUMIFS($H$5:$H80,$B$5:$B80,$B81)-SUMIFS($J$5:$J80,$B$5:$B80,$B81))</f>
        <v/>
      </c>
      <c r="J81" s="19" t="str">
        <f aca="false">IF(OR($B81="",H81=""),"",MIN(C81,H81+I81))</f>
        <v/>
      </c>
      <c r="K81" s="18" t="str">
        <f aca="false">IF(OR($B81="",J81=""),"",MAX(0,MIN(C81-J81,G81)))</f>
        <v/>
      </c>
      <c r="L81" s="18" t="str">
        <f aca="false">IF(OR($B81="",K81=""),"",G81-K81)</f>
        <v/>
      </c>
      <c r="M81" s="19" t="str">
        <f aca="false">IF(OR($B81="",J81=""),"",H81+I81-J81)</f>
        <v/>
      </c>
    </row>
    <row r="82" customFormat="false" ht="15" hidden="false" customHeight="false" outlineLevel="0" collapsed="false">
      <c r="A82" s="14"/>
      <c r="B82" s="5"/>
      <c r="C82" s="9"/>
      <c r="D82" s="24" t="str">
        <f aca="false">IF($B82="","",IFERROR(INDEX(Loans!$D$6:$D$65,MATCH($B82,Loans!$A$6:$A$65,0)),""))</f>
        <v/>
      </c>
      <c r="E82" s="24" t="str">
        <f aca="false">IF($B82="","",IF(COUNTIFS($B$5:$B81,$B82)=0,D82,_xlfn.MAXIFS($A$5:$A81,$B$5:$B81,$B82)))</f>
        <v/>
      </c>
      <c r="F82" s="25" t="str">
        <f aca="false">IF(OR($B82="",A82=""),"",MAX(0,A82-E82))</f>
        <v/>
      </c>
      <c r="G82" s="19" t="str">
        <f aca="false">IF($B82="","",IFERROR(INDEX(Loans!$E$6:$E$65,MATCH($B82,Loans!$A$6:$A$65,0)),0)-SUMIFS($K$5:$K81,$B$5:$B81,$B82))</f>
        <v/>
      </c>
      <c r="H82" s="19" t="str">
        <f aca="false">IF(OR($B82="",F82=""),"",ROUND(G82*Start!$B$7*F82/Start!$B$8,2))</f>
        <v/>
      </c>
      <c r="I82" s="19" t="str">
        <f aca="false">IF($B82="","",SUMIFS($H$5:$H81,$B$5:$B81,$B82)-SUMIFS($J$5:$J81,$B$5:$B81,$B82))</f>
        <v/>
      </c>
      <c r="J82" s="19" t="str">
        <f aca="false">IF(OR($B82="",H82=""),"",MIN(C82,H82+I82))</f>
        <v/>
      </c>
      <c r="K82" s="18" t="str">
        <f aca="false">IF(OR($B82="",J82=""),"",MAX(0,MIN(C82-J82,G82)))</f>
        <v/>
      </c>
      <c r="L82" s="18" t="str">
        <f aca="false">IF(OR($B82="",K82=""),"",G82-K82)</f>
        <v/>
      </c>
      <c r="M82" s="19" t="str">
        <f aca="false">IF(OR($B82="",J82=""),"",H82+I82-J82)</f>
        <v/>
      </c>
    </row>
    <row r="83" customFormat="false" ht="15" hidden="false" customHeight="false" outlineLevel="0" collapsed="false">
      <c r="A83" s="14"/>
      <c r="B83" s="5"/>
      <c r="C83" s="9"/>
      <c r="D83" s="24" t="str">
        <f aca="false">IF($B83="","",IFERROR(INDEX(Loans!$D$6:$D$65,MATCH($B83,Loans!$A$6:$A$65,0)),""))</f>
        <v/>
      </c>
      <c r="E83" s="24" t="str">
        <f aca="false">IF($B83="","",IF(COUNTIFS($B$5:$B82,$B83)=0,D83,_xlfn.MAXIFS($A$5:$A82,$B$5:$B82,$B83)))</f>
        <v/>
      </c>
      <c r="F83" s="25" t="str">
        <f aca="false">IF(OR($B83="",A83=""),"",MAX(0,A83-E83))</f>
        <v/>
      </c>
      <c r="G83" s="19" t="str">
        <f aca="false">IF($B83="","",IFERROR(INDEX(Loans!$E$6:$E$65,MATCH($B83,Loans!$A$6:$A$65,0)),0)-SUMIFS($K$5:$K82,$B$5:$B82,$B83))</f>
        <v/>
      </c>
      <c r="H83" s="19" t="str">
        <f aca="false">IF(OR($B83="",F83=""),"",ROUND(G83*Start!$B$7*F83/Start!$B$8,2))</f>
        <v/>
      </c>
      <c r="I83" s="19" t="str">
        <f aca="false">IF($B83="","",SUMIFS($H$5:$H82,$B$5:$B82,$B83)-SUMIFS($J$5:$J82,$B$5:$B82,$B83))</f>
        <v/>
      </c>
      <c r="J83" s="19" t="str">
        <f aca="false">IF(OR($B83="",H83=""),"",MIN(C83,H83+I83))</f>
        <v/>
      </c>
      <c r="K83" s="18" t="str">
        <f aca="false">IF(OR($B83="",J83=""),"",MAX(0,MIN(C83-J83,G83)))</f>
        <v/>
      </c>
      <c r="L83" s="18" t="str">
        <f aca="false">IF(OR($B83="",K83=""),"",G83-K83)</f>
        <v/>
      </c>
      <c r="M83" s="19" t="str">
        <f aca="false">IF(OR($B83="",J83=""),"",H83+I83-J83)</f>
        <v/>
      </c>
    </row>
    <row r="84" customFormat="false" ht="15" hidden="false" customHeight="false" outlineLevel="0" collapsed="false">
      <c r="A84" s="14"/>
      <c r="B84" s="5"/>
      <c r="C84" s="9"/>
      <c r="D84" s="24" t="str">
        <f aca="false">IF($B84="","",IFERROR(INDEX(Loans!$D$6:$D$65,MATCH($B84,Loans!$A$6:$A$65,0)),""))</f>
        <v/>
      </c>
      <c r="E84" s="24" t="str">
        <f aca="false">IF($B84="","",IF(COUNTIFS($B$5:$B83,$B84)=0,D84,_xlfn.MAXIFS($A$5:$A83,$B$5:$B83,$B84)))</f>
        <v/>
      </c>
      <c r="F84" s="25" t="str">
        <f aca="false">IF(OR($B84="",A84=""),"",MAX(0,A84-E84))</f>
        <v/>
      </c>
      <c r="G84" s="19" t="str">
        <f aca="false">IF($B84="","",IFERROR(INDEX(Loans!$E$6:$E$65,MATCH($B84,Loans!$A$6:$A$65,0)),0)-SUMIFS($K$5:$K83,$B$5:$B83,$B84))</f>
        <v/>
      </c>
      <c r="H84" s="19" t="str">
        <f aca="false">IF(OR($B84="",F84=""),"",ROUND(G84*Start!$B$7*F84/Start!$B$8,2))</f>
        <v/>
      </c>
      <c r="I84" s="19" t="str">
        <f aca="false">IF($B84="","",SUMIFS($H$5:$H83,$B$5:$B83,$B84)-SUMIFS($J$5:$J83,$B$5:$B83,$B84))</f>
        <v/>
      </c>
      <c r="J84" s="19" t="str">
        <f aca="false">IF(OR($B84="",H84=""),"",MIN(C84,H84+I84))</f>
        <v/>
      </c>
      <c r="K84" s="18" t="str">
        <f aca="false">IF(OR($B84="",J84=""),"",MAX(0,MIN(C84-J84,G84)))</f>
        <v/>
      </c>
      <c r="L84" s="18" t="str">
        <f aca="false">IF(OR($B84="",K84=""),"",G84-K84)</f>
        <v/>
      </c>
      <c r="M84" s="19" t="str">
        <f aca="false">IF(OR($B84="",J84=""),"",H84+I84-J84)</f>
        <v/>
      </c>
    </row>
    <row r="85" customFormat="false" ht="15" hidden="false" customHeight="false" outlineLevel="0" collapsed="false">
      <c r="A85" s="14"/>
      <c r="B85" s="5"/>
      <c r="C85" s="9"/>
      <c r="D85" s="24" t="str">
        <f aca="false">IF($B85="","",IFERROR(INDEX(Loans!$D$6:$D$65,MATCH($B85,Loans!$A$6:$A$65,0)),""))</f>
        <v/>
      </c>
      <c r="E85" s="24" t="str">
        <f aca="false">IF($B85="","",IF(COUNTIFS($B$5:$B84,$B85)=0,D85,_xlfn.MAXIFS($A$5:$A84,$B$5:$B84,$B85)))</f>
        <v/>
      </c>
      <c r="F85" s="25" t="str">
        <f aca="false">IF(OR($B85="",A85=""),"",MAX(0,A85-E85))</f>
        <v/>
      </c>
      <c r="G85" s="19" t="str">
        <f aca="false">IF($B85="","",IFERROR(INDEX(Loans!$E$6:$E$65,MATCH($B85,Loans!$A$6:$A$65,0)),0)-SUMIFS($K$5:$K84,$B$5:$B84,$B85))</f>
        <v/>
      </c>
      <c r="H85" s="19" t="str">
        <f aca="false">IF(OR($B85="",F85=""),"",ROUND(G85*Start!$B$7*F85/Start!$B$8,2))</f>
        <v/>
      </c>
      <c r="I85" s="19" t="str">
        <f aca="false">IF($B85="","",SUMIFS($H$5:$H84,$B$5:$B84,$B85)-SUMIFS($J$5:$J84,$B$5:$B84,$B85))</f>
        <v/>
      </c>
      <c r="J85" s="19" t="str">
        <f aca="false">IF(OR($B85="",H85=""),"",MIN(C85,H85+I85))</f>
        <v/>
      </c>
      <c r="K85" s="18" t="str">
        <f aca="false">IF(OR($B85="",J85=""),"",MAX(0,MIN(C85-J85,G85)))</f>
        <v/>
      </c>
      <c r="L85" s="18" t="str">
        <f aca="false">IF(OR($B85="",K85=""),"",G85-K85)</f>
        <v/>
      </c>
      <c r="M85" s="19" t="str">
        <f aca="false">IF(OR($B85="",J85=""),"",H85+I85-J85)</f>
        <v/>
      </c>
    </row>
    <row r="86" customFormat="false" ht="15" hidden="false" customHeight="false" outlineLevel="0" collapsed="false">
      <c r="A86" s="14"/>
      <c r="B86" s="5"/>
      <c r="C86" s="9"/>
      <c r="D86" s="24" t="str">
        <f aca="false">IF($B86="","",IFERROR(INDEX(Loans!$D$6:$D$65,MATCH($B86,Loans!$A$6:$A$65,0)),""))</f>
        <v/>
      </c>
      <c r="E86" s="24" t="str">
        <f aca="false">IF($B86="","",IF(COUNTIFS($B$5:$B85,$B86)=0,D86,_xlfn.MAXIFS($A$5:$A85,$B$5:$B85,$B86)))</f>
        <v/>
      </c>
      <c r="F86" s="25" t="str">
        <f aca="false">IF(OR($B86="",A86=""),"",MAX(0,A86-E86))</f>
        <v/>
      </c>
      <c r="G86" s="19" t="str">
        <f aca="false">IF($B86="","",IFERROR(INDEX(Loans!$E$6:$E$65,MATCH($B86,Loans!$A$6:$A$65,0)),0)-SUMIFS($K$5:$K85,$B$5:$B85,$B86))</f>
        <v/>
      </c>
      <c r="H86" s="19" t="str">
        <f aca="false">IF(OR($B86="",F86=""),"",ROUND(G86*Start!$B$7*F86/Start!$B$8,2))</f>
        <v/>
      </c>
      <c r="I86" s="19" t="str">
        <f aca="false">IF($B86="","",SUMIFS($H$5:$H85,$B$5:$B85,$B86)-SUMIFS($J$5:$J85,$B$5:$B85,$B86))</f>
        <v/>
      </c>
      <c r="J86" s="19" t="str">
        <f aca="false">IF(OR($B86="",H86=""),"",MIN(C86,H86+I86))</f>
        <v/>
      </c>
      <c r="K86" s="18" t="str">
        <f aca="false">IF(OR($B86="",J86=""),"",MAX(0,MIN(C86-J86,G86)))</f>
        <v/>
      </c>
      <c r="L86" s="18" t="str">
        <f aca="false">IF(OR($B86="",K86=""),"",G86-K86)</f>
        <v/>
      </c>
      <c r="M86" s="19" t="str">
        <f aca="false">IF(OR($B86="",J86=""),"",H86+I86-J86)</f>
        <v/>
      </c>
    </row>
    <row r="87" customFormat="false" ht="15" hidden="false" customHeight="false" outlineLevel="0" collapsed="false">
      <c r="A87" s="14"/>
      <c r="B87" s="5"/>
      <c r="C87" s="9"/>
      <c r="D87" s="24" t="str">
        <f aca="false">IF($B87="","",IFERROR(INDEX(Loans!$D$6:$D$65,MATCH($B87,Loans!$A$6:$A$65,0)),""))</f>
        <v/>
      </c>
      <c r="E87" s="24" t="str">
        <f aca="false">IF($B87="","",IF(COUNTIFS($B$5:$B86,$B87)=0,D87,_xlfn.MAXIFS($A$5:$A86,$B$5:$B86,$B87)))</f>
        <v/>
      </c>
      <c r="F87" s="25" t="str">
        <f aca="false">IF(OR($B87="",A87=""),"",MAX(0,A87-E87))</f>
        <v/>
      </c>
      <c r="G87" s="19" t="str">
        <f aca="false">IF($B87="","",IFERROR(INDEX(Loans!$E$6:$E$65,MATCH($B87,Loans!$A$6:$A$65,0)),0)-SUMIFS($K$5:$K86,$B$5:$B86,$B87))</f>
        <v/>
      </c>
      <c r="H87" s="19" t="str">
        <f aca="false">IF(OR($B87="",F87=""),"",ROUND(G87*Start!$B$7*F87/Start!$B$8,2))</f>
        <v/>
      </c>
      <c r="I87" s="19" t="str">
        <f aca="false">IF($B87="","",SUMIFS($H$5:$H86,$B$5:$B86,$B87)-SUMIFS($J$5:$J86,$B$5:$B86,$B87))</f>
        <v/>
      </c>
      <c r="J87" s="19" t="str">
        <f aca="false">IF(OR($B87="",H87=""),"",MIN(C87,H87+I87))</f>
        <v/>
      </c>
      <c r="K87" s="18" t="str">
        <f aca="false">IF(OR($B87="",J87=""),"",MAX(0,MIN(C87-J87,G87)))</f>
        <v/>
      </c>
      <c r="L87" s="18" t="str">
        <f aca="false">IF(OR($B87="",K87=""),"",G87-K87)</f>
        <v/>
      </c>
      <c r="M87" s="19" t="str">
        <f aca="false">IF(OR($B87="",J87=""),"",H87+I87-J87)</f>
        <v/>
      </c>
    </row>
    <row r="88" customFormat="false" ht="15" hidden="false" customHeight="false" outlineLevel="0" collapsed="false">
      <c r="A88" s="14"/>
      <c r="B88" s="5"/>
      <c r="C88" s="9"/>
      <c r="D88" s="24" t="str">
        <f aca="false">IF($B88="","",IFERROR(INDEX(Loans!$D$6:$D$65,MATCH($B88,Loans!$A$6:$A$65,0)),""))</f>
        <v/>
      </c>
      <c r="E88" s="24" t="str">
        <f aca="false">IF($B88="","",IF(COUNTIFS($B$5:$B87,$B88)=0,D88,_xlfn.MAXIFS($A$5:$A87,$B$5:$B87,$B88)))</f>
        <v/>
      </c>
      <c r="F88" s="25" t="str">
        <f aca="false">IF(OR($B88="",A88=""),"",MAX(0,A88-E88))</f>
        <v/>
      </c>
      <c r="G88" s="19" t="str">
        <f aca="false">IF($B88="","",IFERROR(INDEX(Loans!$E$6:$E$65,MATCH($B88,Loans!$A$6:$A$65,0)),0)-SUMIFS($K$5:$K87,$B$5:$B87,$B88))</f>
        <v/>
      </c>
      <c r="H88" s="19" t="str">
        <f aca="false">IF(OR($B88="",F88=""),"",ROUND(G88*Start!$B$7*F88/Start!$B$8,2))</f>
        <v/>
      </c>
      <c r="I88" s="19" t="str">
        <f aca="false">IF($B88="","",SUMIFS($H$5:$H87,$B$5:$B87,$B88)-SUMIFS($J$5:$J87,$B$5:$B87,$B88))</f>
        <v/>
      </c>
      <c r="J88" s="19" t="str">
        <f aca="false">IF(OR($B88="",H88=""),"",MIN(C88,H88+I88))</f>
        <v/>
      </c>
      <c r="K88" s="18" t="str">
        <f aca="false">IF(OR($B88="",J88=""),"",MAX(0,MIN(C88-J88,G88)))</f>
        <v/>
      </c>
      <c r="L88" s="18" t="str">
        <f aca="false">IF(OR($B88="",K88=""),"",G88-K88)</f>
        <v/>
      </c>
      <c r="M88" s="19" t="str">
        <f aca="false">IF(OR($B88="",J88=""),"",H88+I88-J88)</f>
        <v/>
      </c>
    </row>
    <row r="89" customFormat="false" ht="15" hidden="false" customHeight="false" outlineLevel="0" collapsed="false">
      <c r="A89" s="14"/>
      <c r="B89" s="5"/>
      <c r="C89" s="9"/>
      <c r="D89" s="24" t="str">
        <f aca="false">IF($B89="","",IFERROR(INDEX(Loans!$D$6:$D$65,MATCH($B89,Loans!$A$6:$A$65,0)),""))</f>
        <v/>
      </c>
      <c r="E89" s="24" t="str">
        <f aca="false">IF($B89="","",IF(COUNTIFS($B$5:$B88,$B89)=0,D89,_xlfn.MAXIFS($A$5:$A88,$B$5:$B88,$B89)))</f>
        <v/>
      </c>
      <c r="F89" s="25" t="str">
        <f aca="false">IF(OR($B89="",A89=""),"",MAX(0,A89-E89))</f>
        <v/>
      </c>
      <c r="G89" s="19" t="str">
        <f aca="false">IF($B89="","",IFERROR(INDEX(Loans!$E$6:$E$65,MATCH($B89,Loans!$A$6:$A$65,0)),0)-SUMIFS($K$5:$K88,$B$5:$B88,$B89))</f>
        <v/>
      </c>
      <c r="H89" s="19" t="str">
        <f aca="false">IF(OR($B89="",F89=""),"",ROUND(G89*Start!$B$7*F89/Start!$B$8,2))</f>
        <v/>
      </c>
      <c r="I89" s="19" t="str">
        <f aca="false">IF($B89="","",SUMIFS($H$5:$H88,$B$5:$B88,$B89)-SUMIFS($J$5:$J88,$B$5:$B88,$B89))</f>
        <v/>
      </c>
      <c r="J89" s="19" t="str">
        <f aca="false">IF(OR($B89="",H89=""),"",MIN(C89,H89+I89))</f>
        <v/>
      </c>
      <c r="K89" s="18" t="str">
        <f aca="false">IF(OR($B89="",J89=""),"",MAX(0,MIN(C89-J89,G89)))</f>
        <v/>
      </c>
      <c r="L89" s="18" t="str">
        <f aca="false">IF(OR($B89="",K89=""),"",G89-K89)</f>
        <v/>
      </c>
      <c r="M89" s="19" t="str">
        <f aca="false">IF(OR($B89="",J89=""),"",H89+I89-J89)</f>
        <v/>
      </c>
    </row>
    <row r="90" customFormat="false" ht="15" hidden="false" customHeight="false" outlineLevel="0" collapsed="false">
      <c r="A90" s="14"/>
      <c r="B90" s="5"/>
      <c r="C90" s="9"/>
      <c r="D90" s="24" t="str">
        <f aca="false">IF($B90="","",IFERROR(INDEX(Loans!$D$6:$D$65,MATCH($B90,Loans!$A$6:$A$65,0)),""))</f>
        <v/>
      </c>
      <c r="E90" s="24" t="str">
        <f aca="false">IF($B90="","",IF(COUNTIFS($B$5:$B89,$B90)=0,D90,_xlfn.MAXIFS($A$5:$A89,$B$5:$B89,$B90)))</f>
        <v/>
      </c>
      <c r="F90" s="25" t="str">
        <f aca="false">IF(OR($B90="",A90=""),"",MAX(0,A90-E90))</f>
        <v/>
      </c>
      <c r="G90" s="19" t="str">
        <f aca="false">IF($B90="","",IFERROR(INDEX(Loans!$E$6:$E$65,MATCH($B90,Loans!$A$6:$A$65,0)),0)-SUMIFS($K$5:$K89,$B$5:$B89,$B90))</f>
        <v/>
      </c>
      <c r="H90" s="19" t="str">
        <f aca="false">IF(OR($B90="",F90=""),"",ROUND(G90*Start!$B$7*F90/Start!$B$8,2))</f>
        <v/>
      </c>
      <c r="I90" s="19" t="str">
        <f aca="false">IF($B90="","",SUMIFS($H$5:$H89,$B$5:$B89,$B90)-SUMIFS($J$5:$J89,$B$5:$B89,$B90))</f>
        <v/>
      </c>
      <c r="J90" s="19" t="str">
        <f aca="false">IF(OR($B90="",H90=""),"",MIN(C90,H90+I90))</f>
        <v/>
      </c>
      <c r="K90" s="18" t="str">
        <f aca="false">IF(OR($B90="",J90=""),"",MAX(0,MIN(C90-J90,G90)))</f>
        <v/>
      </c>
      <c r="L90" s="18" t="str">
        <f aca="false">IF(OR($B90="",K90=""),"",G90-K90)</f>
        <v/>
      </c>
      <c r="M90" s="19" t="str">
        <f aca="false">IF(OR($B90="",J90=""),"",H90+I90-J90)</f>
        <v/>
      </c>
    </row>
    <row r="91" customFormat="false" ht="15" hidden="false" customHeight="false" outlineLevel="0" collapsed="false">
      <c r="A91" s="14"/>
      <c r="B91" s="5"/>
      <c r="C91" s="9"/>
      <c r="D91" s="24" t="str">
        <f aca="false">IF($B91="","",IFERROR(INDEX(Loans!$D$6:$D$65,MATCH($B91,Loans!$A$6:$A$65,0)),""))</f>
        <v/>
      </c>
      <c r="E91" s="24" t="str">
        <f aca="false">IF($B91="","",IF(COUNTIFS($B$5:$B90,$B91)=0,D91,_xlfn.MAXIFS($A$5:$A90,$B$5:$B90,$B91)))</f>
        <v/>
      </c>
      <c r="F91" s="25" t="str">
        <f aca="false">IF(OR($B91="",A91=""),"",MAX(0,A91-E91))</f>
        <v/>
      </c>
      <c r="G91" s="19" t="str">
        <f aca="false">IF($B91="","",IFERROR(INDEX(Loans!$E$6:$E$65,MATCH($B91,Loans!$A$6:$A$65,0)),0)-SUMIFS($K$5:$K90,$B$5:$B90,$B91))</f>
        <v/>
      </c>
      <c r="H91" s="19" t="str">
        <f aca="false">IF(OR($B91="",F91=""),"",ROUND(G91*Start!$B$7*F91/Start!$B$8,2))</f>
        <v/>
      </c>
      <c r="I91" s="19" t="str">
        <f aca="false">IF($B91="","",SUMIFS($H$5:$H90,$B$5:$B90,$B91)-SUMIFS($J$5:$J90,$B$5:$B90,$B91))</f>
        <v/>
      </c>
      <c r="J91" s="19" t="str">
        <f aca="false">IF(OR($B91="",H91=""),"",MIN(C91,H91+I91))</f>
        <v/>
      </c>
      <c r="K91" s="18" t="str">
        <f aca="false">IF(OR($B91="",J91=""),"",MAX(0,MIN(C91-J91,G91)))</f>
        <v/>
      </c>
      <c r="L91" s="18" t="str">
        <f aca="false">IF(OR($B91="",K91=""),"",G91-K91)</f>
        <v/>
      </c>
      <c r="M91" s="19" t="str">
        <f aca="false">IF(OR($B91="",J91=""),"",H91+I91-J91)</f>
        <v/>
      </c>
    </row>
    <row r="92" customFormat="false" ht="15" hidden="false" customHeight="false" outlineLevel="0" collapsed="false">
      <c r="A92" s="14"/>
      <c r="B92" s="5"/>
      <c r="C92" s="9"/>
      <c r="D92" s="24" t="str">
        <f aca="false">IF($B92="","",IFERROR(INDEX(Loans!$D$6:$D$65,MATCH($B92,Loans!$A$6:$A$65,0)),""))</f>
        <v/>
      </c>
      <c r="E92" s="24" t="str">
        <f aca="false">IF($B92="","",IF(COUNTIFS($B$5:$B91,$B92)=0,D92,_xlfn.MAXIFS($A$5:$A91,$B$5:$B91,$B92)))</f>
        <v/>
      </c>
      <c r="F92" s="25" t="str">
        <f aca="false">IF(OR($B92="",A92=""),"",MAX(0,A92-E92))</f>
        <v/>
      </c>
      <c r="G92" s="19" t="str">
        <f aca="false">IF($B92="","",IFERROR(INDEX(Loans!$E$6:$E$65,MATCH($B92,Loans!$A$6:$A$65,0)),0)-SUMIFS($K$5:$K91,$B$5:$B91,$B92))</f>
        <v/>
      </c>
      <c r="H92" s="19" t="str">
        <f aca="false">IF(OR($B92="",F92=""),"",ROUND(G92*Start!$B$7*F92/Start!$B$8,2))</f>
        <v/>
      </c>
      <c r="I92" s="19" t="str">
        <f aca="false">IF($B92="","",SUMIFS($H$5:$H91,$B$5:$B91,$B92)-SUMIFS($J$5:$J91,$B$5:$B91,$B92))</f>
        <v/>
      </c>
      <c r="J92" s="19" t="str">
        <f aca="false">IF(OR($B92="",H92=""),"",MIN(C92,H92+I92))</f>
        <v/>
      </c>
      <c r="K92" s="18" t="str">
        <f aca="false">IF(OR($B92="",J92=""),"",MAX(0,MIN(C92-J92,G92)))</f>
        <v/>
      </c>
      <c r="L92" s="18" t="str">
        <f aca="false">IF(OR($B92="",K92=""),"",G92-K92)</f>
        <v/>
      </c>
      <c r="M92" s="19" t="str">
        <f aca="false">IF(OR($B92="",J92=""),"",H92+I92-J92)</f>
        <v/>
      </c>
    </row>
    <row r="93" customFormat="false" ht="15" hidden="false" customHeight="false" outlineLevel="0" collapsed="false">
      <c r="A93" s="14"/>
      <c r="B93" s="5"/>
      <c r="C93" s="9"/>
      <c r="D93" s="24" t="str">
        <f aca="false">IF($B93="","",IFERROR(INDEX(Loans!$D$6:$D$65,MATCH($B93,Loans!$A$6:$A$65,0)),""))</f>
        <v/>
      </c>
      <c r="E93" s="24" t="str">
        <f aca="false">IF($B93="","",IF(COUNTIFS($B$5:$B92,$B93)=0,D93,_xlfn.MAXIFS($A$5:$A92,$B$5:$B92,$B93)))</f>
        <v/>
      </c>
      <c r="F93" s="25" t="str">
        <f aca="false">IF(OR($B93="",A93=""),"",MAX(0,A93-E93))</f>
        <v/>
      </c>
      <c r="G93" s="19" t="str">
        <f aca="false">IF($B93="","",IFERROR(INDEX(Loans!$E$6:$E$65,MATCH($B93,Loans!$A$6:$A$65,0)),0)-SUMIFS($K$5:$K92,$B$5:$B92,$B93))</f>
        <v/>
      </c>
      <c r="H93" s="19" t="str">
        <f aca="false">IF(OR($B93="",F93=""),"",ROUND(G93*Start!$B$7*F93/Start!$B$8,2))</f>
        <v/>
      </c>
      <c r="I93" s="19" t="str">
        <f aca="false">IF($B93="","",SUMIFS($H$5:$H92,$B$5:$B92,$B93)-SUMIFS($J$5:$J92,$B$5:$B92,$B93))</f>
        <v/>
      </c>
      <c r="J93" s="19" t="str">
        <f aca="false">IF(OR($B93="",H93=""),"",MIN(C93,H93+I93))</f>
        <v/>
      </c>
      <c r="K93" s="18" t="str">
        <f aca="false">IF(OR($B93="",J93=""),"",MAX(0,MIN(C93-J93,G93)))</f>
        <v/>
      </c>
      <c r="L93" s="18" t="str">
        <f aca="false">IF(OR($B93="",K93=""),"",G93-K93)</f>
        <v/>
      </c>
      <c r="M93" s="19" t="str">
        <f aca="false">IF(OR($B93="",J93=""),"",H93+I93-J93)</f>
        <v/>
      </c>
    </row>
    <row r="94" customFormat="false" ht="15" hidden="false" customHeight="false" outlineLevel="0" collapsed="false">
      <c r="A94" s="14"/>
      <c r="B94" s="5"/>
      <c r="C94" s="9"/>
      <c r="D94" s="24" t="str">
        <f aca="false">IF($B94="","",IFERROR(INDEX(Loans!$D$6:$D$65,MATCH($B94,Loans!$A$6:$A$65,0)),""))</f>
        <v/>
      </c>
      <c r="E94" s="24" t="str">
        <f aca="false">IF($B94="","",IF(COUNTIFS($B$5:$B93,$B94)=0,D94,_xlfn.MAXIFS($A$5:$A93,$B$5:$B93,$B94)))</f>
        <v/>
      </c>
      <c r="F94" s="25" t="str">
        <f aca="false">IF(OR($B94="",A94=""),"",MAX(0,A94-E94))</f>
        <v/>
      </c>
      <c r="G94" s="19" t="str">
        <f aca="false">IF($B94="","",IFERROR(INDEX(Loans!$E$6:$E$65,MATCH($B94,Loans!$A$6:$A$65,0)),0)-SUMIFS($K$5:$K93,$B$5:$B93,$B94))</f>
        <v/>
      </c>
      <c r="H94" s="19" t="str">
        <f aca="false">IF(OR($B94="",F94=""),"",ROUND(G94*Start!$B$7*F94/Start!$B$8,2))</f>
        <v/>
      </c>
      <c r="I94" s="19" t="str">
        <f aca="false">IF($B94="","",SUMIFS($H$5:$H93,$B$5:$B93,$B94)-SUMIFS($J$5:$J93,$B$5:$B93,$B94))</f>
        <v/>
      </c>
      <c r="J94" s="19" t="str">
        <f aca="false">IF(OR($B94="",H94=""),"",MIN(C94,H94+I94))</f>
        <v/>
      </c>
      <c r="K94" s="18" t="str">
        <f aca="false">IF(OR($B94="",J94=""),"",MAX(0,MIN(C94-J94,G94)))</f>
        <v/>
      </c>
      <c r="L94" s="18" t="str">
        <f aca="false">IF(OR($B94="",K94=""),"",G94-K94)</f>
        <v/>
      </c>
      <c r="M94" s="19" t="str">
        <f aca="false">IF(OR($B94="",J94=""),"",H94+I94-J94)</f>
        <v/>
      </c>
    </row>
    <row r="95" customFormat="false" ht="15" hidden="false" customHeight="false" outlineLevel="0" collapsed="false">
      <c r="A95" s="14"/>
      <c r="B95" s="5"/>
      <c r="C95" s="9"/>
      <c r="D95" s="24" t="str">
        <f aca="false">IF($B95="","",IFERROR(INDEX(Loans!$D$6:$D$65,MATCH($B95,Loans!$A$6:$A$65,0)),""))</f>
        <v/>
      </c>
      <c r="E95" s="24" t="str">
        <f aca="false">IF($B95="","",IF(COUNTIFS($B$5:$B94,$B95)=0,D95,_xlfn.MAXIFS($A$5:$A94,$B$5:$B94,$B95)))</f>
        <v/>
      </c>
      <c r="F95" s="25" t="str">
        <f aca="false">IF(OR($B95="",A95=""),"",MAX(0,A95-E95))</f>
        <v/>
      </c>
      <c r="G95" s="19" t="str">
        <f aca="false">IF($B95="","",IFERROR(INDEX(Loans!$E$6:$E$65,MATCH($B95,Loans!$A$6:$A$65,0)),0)-SUMIFS($K$5:$K94,$B$5:$B94,$B95))</f>
        <v/>
      </c>
      <c r="H95" s="19" t="str">
        <f aca="false">IF(OR($B95="",F95=""),"",ROUND(G95*Start!$B$7*F95/Start!$B$8,2))</f>
        <v/>
      </c>
      <c r="I95" s="19" t="str">
        <f aca="false">IF($B95="","",SUMIFS($H$5:$H94,$B$5:$B94,$B95)-SUMIFS($J$5:$J94,$B$5:$B94,$B95))</f>
        <v/>
      </c>
      <c r="J95" s="19" t="str">
        <f aca="false">IF(OR($B95="",H95=""),"",MIN(C95,H95+I95))</f>
        <v/>
      </c>
      <c r="K95" s="18" t="str">
        <f aca="false">IF(OR($B95="",J95=""),"",MAX(0,MIN(C95-J95,G95)))</f>
        <v/>
      </c>
      <c r="L95" s="18" t="str">
        <f aca="false">IF(OR($B95="",K95=""),"",G95-K95)</f>
        <v/>
      </c>
      <c r="M95" s="19" t="str">
        <f aca="false">IF(OR($B95="",J95=""),"",H95+I95-J95)</f>
        <v/>
      </c>
    </row>
    <row r="96" customFormat="false" ht="15" hidden="false" customHeight="false" outlineLevel="0" collapsed="false">
      <c r="A96" s="14"/>
      <c r="B96" s="5"/>
      <c r="C96" s="9"/>
      <c r="D96" s="24" t="str">
        <f aca="false">IF($B96="","",IFERROR(INDEX(Loans!$D$6:$D$65,MATCH($B96,Loans!$A$6:$A$65,0)),""))</f>
        <v/>
      </c>
      <c r="E96" s="24" t="str">
        <f aca="false">IF($B96="","",IF(COUNTIFS($B$5:$B95,$B96)=0,D96,_xlfn.MAXIFS($A$5:$A95,$B$5:$B95,$B96)))</f>
        <v/>
      </c>
      <c r="F96" s="25" t="str">
        <f aca="false">IF(OR($B96="",A96=""),"",MAX(0,A96-E96))</f>
        <v/>
      </c>
      <c r="G96" s="19" t="str">
        <f aca="false">IF($B96="","",IFERROR(INDEX(Loans!$E$6:$E$65,MATCH($B96,Loans!$A$6:$A$65,0)),0)-SUMIFS($K$5:$K95,$B$5:$B95,$B96))</f>
        <v/>
      </c>
      <c r="H96" s="19" t="str">
        <f aca="false">IF(OR($B96="",F96=""),"",ROUND(G96*Start!$B$7*F96/Start!$B$8,2))</f>
        <v/>
      </c>
      <c r="I96" s="19" t="str">
        <f aca="false">IF($B96="","",SUMIFS($H$5:$H95,$B$5:$B95,$B96)-SUMIFS($J$5:$J95,$B$5:$B95,$B96))</f>
        <v/>
      </c>
      <c r="J96" s="19" t="str">
        <f aca="false">IF(OR($B96="",H96=""),"",MIN(C96,H96+I96))</f>
        <v/>
      </c>
      <c r="K96" s="18" t="str">
        <f aca="false">IF(OR($B96="",J96=""),"",MAX(0,MIN(C96-J96,G96)))</f>
        <v/>
      </c>
      <c r="L96" s="18" t="str">
        <f aca="false">IF(OR($B96="",K96=""),"",G96-K96)</f>
        <v/>
      </c>
      <c r="M96" s="19" t="str">
        <f aca="false">IF(OR($B96="",J96=""),"",H96+I96-J96)</f>
        <v/>
      </c>
    </row>
    <row r="97" customFormat="false" ht="15" hidden="false" customHeight="false" outlineLevel="0" collapsed="false">
      <c r="A97" s="14"/>
      <c r="B97" s="5"/>
      <c r="C97" s="9"/>
      <c r="D97" s="24" t="str">
        <f aca="false">IF($B97="","",IFERROR(INDEX(Loans!$D$6:$D$65,MATCH($B97,Loans!$A$6:$A$65,0)),""))</f>
        <v/>
      </c>
      <c r="E97" s="24" t="str">
        <f aca="false">IF($B97="","",IF(COUNTIFS($B$5:$B96,$B97)=0,D97,_xlfn.MAXIFS($A$5:$A96,$B$5:$B96,$B97)))</f>
        <v/>
      </c>
      <c r="F97" s="25" t="str">
        <f aca="false">IF(OR($B97="",A97=""),"",MAX(0,A97-E97))</f>
        <v/>
      </c>
      <c r="G97" s="19" t="str">
        <f aca="false">IF($B97="","",IFERROR(INDEX(Loans!$E$6:$E$65,MATCH($B97,Loans!$A$6:$A$65,0)),0)-SUMIFS($K$5:$K96,$B$5:$B96,$B97))</f>
        <v/>
      </c>
      <c r="H97" s="19" t="str">
        <f aca="false">IF(OR($B97="",F97=""),"",ROUND(G97*Start!$B$7*F97/Start!$B$8,2))</f>
        <v/>
      </c>
      <c r="I97" s="19" t="str">
        <f aca="false">IF($B97="","",SUMIFS($H$5:$H96,$B$5:$B96,$B97)-SUMIFS($J$5:$J96,$B$5:$B96,$B97))</f>
        <v/>
      </c>
      <c r="J97" s="19" t="str">
        <f aca="false">IF(OR($B97="",H97=""),"",MIN(C97,H97+I97))</f>
        <v/>
      </c>
      <c r="K97" s="18" t="str">
        <f aca="false">IF(OR($B97="",J97=""),"",MAX(0,MIN(C97-J97,G97)))</f>
        <v/>
      </c>
      <c r="L97" s="18" t="str">
        <f aca="false">IF(OR($B97="",K97=""),"",G97-K97)</f>
        <v/>
      </c>
      <c r="M97" s="19" t="str">
        <f aca="false">IF(OR($B97="",J97=""),"",H97+I97-J97)</f>
        <v/>
      </c>
    </row>
    <row r="98" customFormat="false" ht="15" hidden="false" customHeight="false" outlineLevel="0" collapsed="false">
      <c r="A98" s="14"/>
      <c r="B98" s="5"/>
      <c r="C98" s="9"/>
      <c r="D98" s="24" t="str">
        <f aca="false">IF($B98="","",IFERROR(INDEX(Loans!$D$6:$D$65,MATCH($B98,Loans!$A$6:$A$65,0)),""))</f>
        <v/>
      </c>
      <c r="E98" s="24" t="str">
        <f aca="false">IF($B98="","",IF(COUNTIFS($B$5:$B97,$B98)=0,D98,_xlfn.MAXIFS($A$5:$A97,$B$5:$B97,$B98)))</f>
        <v/>
      </c>
      <c r="F98" s="25" t="str">
        <f aca="false">IF(OR($B98="",A98=""),"",MAX(0,A98-E98))</f>
        <v/>
      </c>
      <c r="G98" s="19" t="str">
        <f aca="false">IF($B98="","",IFERROR(INDEX(Loans!$E$6:$E$65,MATCH($B98,Loans!$A$6:$A$65,0)),0)-SUMIFS($K$5:$K97,$B$5:$B97,$B98))</f>
        <v/>
      </c>
      <c r="H98" s="19" t="str">
        <f aca="false">IF(OR($B98="",F98=""),"",ROUND(G98*Start!$B$7*F98/Start!$B$8,2))</f>
        <v/>
      </c>
      <c r="I98" s="19" t="str">
        <f aca="false">IF($B98="","",SUMIFS($H$5:$H97,$B$5:$B97,$B98)-SUMIFS($J$5:$J97,$B$5:$B97,$B98))</f>
        <v/>
      </c>
      <c r="J98" s="19" t="str">
        <f aca="false">IF(OR($B98="",H98=""),"",MIN(C98,H98+I98))</f>
        <v/>
      </c>
      <c r="K98" s="18" t="str">
        <f aca="false">IF(OR($B98="",J98=""),"",MAX(0,MIN(C98-J98,G98)))</f>
        <v/>
      </c>
      <c r="L98" s="18" t="str">
        <f aca="false">IF(OR($B98="",K98=""),"",G98-K98)</f>
        <v/>
      </c>
      <c r="M98" s="19" t="str">
        <f aca="false">IF(OR($B98="",J98=""),"",H98+I98-J98)</f>
        <v/>
      </c>
    </row>
    <row r="99" customFormat="false" ht="15" hidden="false" customHeight="false" outlineLevel="0" collapsed="false">
      <c r="A99" s="14"/>
      <c r="B99" s="5"/>
      <c r="C99" s="9"/>
      <c r="D99" s="24" t="str">
        <f aca="false">IF($B99="","",IFERROR(INDEX(Loans!$D$6:$D$65,MATCH($B99,Loans!$A$6:$A$65,0)),""))</f>
        <v/>
      </c>
      <c r="E99" s="24" t="str">
        <f aca="false">IF($B99="","",IF(COUNTIFS($B$5:$B98,$B99)=0,D99,_xlfn.MAXIFS($A$5:$A98,$B$5:$B98,$B99)))</f>
        <v/>
      </c>
      <c r="F99" s="25" t="str">
        <f aca="false">IF(OR($B99="",A99=""),"",MAX(0,A99-E99))</f>
        <v/>
      </c>
      <c r="G99" s="19" t="str">
        <f aca="false">IF($B99="","",IFERROR(INDEX(Loans!$E$6:$E$65,MATCH($B99,Loans!$A$6:$A$65,0)),0)-SUMIFS($K$5:$K98,$B$5:$B98,$B99))</f>
        <v/>
      </c>
      <c r="H99" s="19" t="str">
        <f aca="false">IF(OR($B99="",F99=""),"",ROUND(G99*Start!$B$7*F99/Start!$B$8,2))</f>
        <v/>
      </c>
      <c r="I99" s="19" t="str">
        <f aca="false">IF($B99="","",SUMIFS($H$5:$H98,$B$5:$B98,$B99)-SUMIFS($J$5:$J98,$B$5:$B98,$B99))</f>
        <v/>
      </c>
      <c r="J99" s="19" t="str">
        <f aca="false">IF(OR($B99="",H99=""),"",MIN(C99,H99+I99))</f>
        <v/>
      </c>
      <c r="K99" s="18" t="str">
        <f aca="false">IF(OR($B99="",J99=""),"",MAX(0,MIN(C99-J99,G99)))</f>
        <v/>
      </c>
      <c r="L99" s="18" t="str">
        <f aca="false">IF(OR($B99="",K99=""),"",G99-K99)</f>
        <v/>
      </c>
      <c r="M99" s="19" t="str">
        <f aca="false">IF(OR($B99="",J99=""),"",H99+I99-J99)</f>
        <v/>
      </c>
    </row>
    <row r="100" customFormat="false" ht="15" hidden="false" customHeight="false" outlineLevel="0" collapsed="false">
      <c r="A100" s="14"/>
      <c r="B100" s="5"/>
      <c r="C100" s="9"/>
      <c r="D100" s="24" t="str">
        <f aca="false">IF($B100="","",IFERROR(INDEX(Loans!$D$6:$D$65,MATCH($B100,Loans!$A$6:$A$65,0)),""))</f>
        <v/>
      </c>
      <c r="E100" s="24" t="str">
        <f aca="false">IF($B100="","",IF(COUNTIFS($B$5:$B99,$B100)=0,D100,_xlfn.MAXIFS($A$5:$A99,$B$5:$B99,$B100)))</f>
        <v/>
      </c>
      <c r="F100" s="25" t="str">
        <f aca="false">IF(OR($B100="",A100=""),"",MAX(0,A100-E100))</f>
        <v/>
      </c>
      <c r="G100" s="19" t="str">
        <f aca="false">IF($B100="","",IFERROR(INDEX(Loans!$E$6:$E$65,MATCH($B100,Loans!$A$6:$A$65,0)),0)-SUMIFS($K$5:$K99,$B$5:$B99,$B100))</f>
        <v/>
      </c>
      <c r="H100" s="19" t="str">
        <f aca="false">IF(OR($B100="",F100=""),"",ROUND(G100*Start!$B$7*F100/Start!$B$8,2))</f>
        <v/>
      </c>
      <c r="I100" s="19" t="str">
        <f aca="false">IF($B100="","",SUMIFS($H$5:$H99,$B$5:$B99,$B100)-SUMIFS($J$5:$J99,$B$5:$B99,$B100))</f>
        <v/>
      </c>
      <c r="J100" s="19" t="str">
        <f aca="false">IF(OR($B100="",H100=""),"",MIN(C100,H100+I100))</f>
        <v/>
      </c>
      <c r="K100" s="18" t="str">
        <f aca="false">IF(OR($B100="",J100=""),"",MAX(0,MIN(C100-J100,G100)))</f>
        <v/>
      </c>
      <c r="L100" s="18" t="str">
        <f aca="false">IF(OR($B100="",K100=""),"",G100-K100)</f>
        <v/>
      </c>
      <c r="M100" s="19" t="str">
        <f aca="false">IF(OR($B100="",J100=""),"",H100+I100-J100)</f>
        <v/>
      </c>
    </row>
    <row r="101" customFormat="false" ht="15" hidden="false" customHeight="false" outlineLevel="0" collapsed="false">
      <c r="A101" s="14"/>
      <c r="B101" s="5"/>
      <c r="C101" s="9"/>
      <c r="D101" s="24" t="str">
        <f aca="false">IF($B101="","",IFERROR(INDEX(Loans!$D$6:$D$65,MATCH($B101,Loans!$A$6:$A$65,0)),""))</f>
        <v/>
      </c>
      <c r="E101" s="24" t="str">
        <f aca="false">IF($B101="","",IF(COUNTIFS($B$5:$B100,$B101)=0,D101,_xlfn.MAXIFS($A$5:$A100,$B$5:$B100,$B101)))</f>
        <v/>
      </c>
      <c r="F101" s="25" t="str">
        <f aca="false">IF(OR($B101="",A101=""),"",MAX(0,A101-E101))</f>
        <v/>
      </c>
      <c r="G101" s="19" t="str">
        <f aca="false">IF($B101="","",IFERROR(INDEX(Loans!$E$6:$E$65,MATCH($B101,Loans!$A$6:$A$65,0)),0)-SUMIFS($K$5:$K100,$B$5:$B100,$B101))</f>
        <v/>
      </c>
      <c r="H101" s="19" t="str">
        <f aca="false">IF(OR($B101="",F101=""),"",ROUND(G101*Start!$B$7*F101/Start!$B$8,2))</f>
        <v/>
      </c>
      <c r="I101" s="19" t="str">
        <f aca="false">IF($B101="","",SUMIFS($H$5:$H100,$B$5:$B100,$B101)-SUMIFS($J$5:$J100,$B$5:$B100,$B101))</f>
        <v/>
      </c>
      <c r="J101" s="19" t="str">
        <f aca="false">IF(OR($B101="",H101=""),"",MIN(C101,H101+I101))</f>
        <v/>
      </c>
      <c r="K101" s="18" t="str">
        <f aca="false">IF(OR($B101="",J101=""),"",MAX(0,MIN(C101-J101,G101)))</f>
        <v/>
      </c>
      <c r="L101" s="18" t="str">
        <f aca="false">IF(OR($B101="",K101=""),"",G101-K101)</f>
        <v/>
      </c>
      <c r="M101" s="19" t="str">
        <f aca="false">IF(OR($B101="",J101=""),"",H101+I101-J101)</f>
        <v/>
      </c>
    </row>
    <row r="102" customFormat="false" ht="15" hidden="false" customHeight="false" outlineLevel="0" collapsed="false">
      <c r="A102" s="14"/>
      <c r="B102" s="5"/>
      <c r="C102" s="9"/>
      <c r="D102" s="24" t="str">
        <f aca="false">IF($B102="","",IFERROR(INDEX(Loans!$D$6:$D$65,MATCH($B102,Loans!$A$6:$A$65,0)),""))</f>
        <v/>
      </c>
      <c r="E102" s="24" t="str">
        <f aca="false">IF($B102="","",IF(COUNTIFS($B$5:$B101,$B102)=0,D102,_xlfn.MAXIFS($A$5:$A101,$B$5:$B101,$B102)))</f>
        <v/>
      </c>
      <c r="F102" s="25" t="str">
        <f aca="false">IF(OR($B102="",A102=""),"",MAX(0,A102-E102))</f>
        <v/>
      </c>
      <c r="G102" s="19" t="str">
        <f aca="false">IF($B102="","",IFERROR(INDEX(Loans!$E$6:$E$65,MATCH($B102,Loans!$A$6:$A$65,0)),0)-SUMIFS($K$5:$K101,$B$5:$B101,$B102))</f>
        <v/>
      </c>
      <c r="H102" s="19" t="str">
        <f aca="false">IF(OR($B102="",F102=""),"",ROUND(G102*Start!$B$7*F102/Start!$B$8,2))</f>
        <v/>
      </c>
      <c r="I102" s="19" t="str">
        <f aca="false">IF($B102="","",SUMIFS($H$5:$H101,$B$5:$B101,$B102)-SUMIFS($J$5:$J101,$B$5:$B101,$B102))</f>
        <v/>
      </c>
      <c r="J102" s="19" t="str">
        <f aca="false">IF(OR($B102="",H102=""),"",MIN(C102,H102+I102))</f>
        <v/>
      </c>
      <c r="K102" s="18" t="str">
        <f aca="false">IF(OR($B102="",J102=""),"",MAX(0,MIN(C102-J102,G102)))</f>
        <v/>
      </c>
      <c r="L102" s="18" t="str">
        <f aca="false">IF(OR($B102="",K102=""),"",G102-K102)</f>
        <v/>
      </c>
      <c r="M102" s="19" t="str">
        <f aca="false">IF(OR($B102="",J102=""),"",H102+I102-J102)</f>
        <v/>
      </c>
    </row>
    <row r="103" customFormat="false" ht="15" hidden="false" customHeight="false" outlineLevel="0" collapsed="false">
      <c r="A103" s="14"/>
      <c r="B103" s="5"/>
      <c r="C103" s="9"/>
      <c r="D103" s="24" t="str">
        <f aca="false">IF($B103="","",IFERROR(INDEX(Loans!$D$6:$D$65,MATCH($B103,Loans!$A$6:$A$65,0)),""))</f>
        <v/>
      </c>
      <c r="E103" s="24" t="str">
        <f aca="false">IF($B103="","",IF(COUNTIFS($B$5:$B102,$B103)=0,D103,_xlfn.MAXIFS($A$5:$A102,$B$5:$B102,$B103)))</f>
        <v/>
      </c>
      <c r="F103" s="25" t="str">
        <f aca="false">IF(OR($B103="",A103=""),"",MAX(0,A103-E103))</f>
        <v/>
      </c>
      <c r="G103" s="19" t="str">
        <f aca="false">IF($B103="","",IFERROR(INDEX(Loans!$E$6:$E$65,MATCH($B103,Loans!$A$6:$A$65,0)),0)-SUMIFS($K$5:$K102,$B$5:$B102,$B103))</f>
        <v/>
      </c>
      <c r="H103" s="19" t="str">
        <f aca="false">IF(OR($B103="",F103=""),"",ROUND(G103*Start!$B$7*F103/Start!$B$8,2))</f>
        <v/>
      </c>
      <c r="I103" s="19" t="str">
        <f aca="false">IF($B103="","",SUMIFS($H$5:$H102,$B$5:$B102,$B103)-SUMIFS($J$5:$J102,$B$5:$B102,$B103))</f>
        <v/>
      </c>
      <c r="J103" s="19" t="str">
        <f aca="false">IF(OR($B103="",H103=""),"",MIN(C103,H103+I103))</f>
        <v/>
      </c>
      <c r="K103" s="18" t="str">
        <f aca="false">IF(OR($B103="",J103=""),"",MAX(0,MIN(C103-J103,G103)))</f>
        <v/>
      </c>
      <c r="L103" s="18" t="str">
        <f aca="false">IF(OR($B103="",K103=""),"",G103-K103)</f>
        <v/>
      </c>
      <c r="M103" s="19" t="str">
        <f aca="false">IF(OR($B103="",J103=""),"",H103+I103-J103)</f>
        <v/>
      </c>
    </row>
    <row r="104" customFormat="false" ht="15" hidden="false" customHeight="false" outlineLevel="0" collapsed="false">
      <c r="A104" s="14"/>
      <c r="B104" s="5"/>
      <c r="C104" s="9"/>
      <c r="D104" s="24" t="str">
        <f aca="false">IF($B104="","",IFERROR(INDEX(Loans!$D$6:$D$65,MATCH($B104,Loans!$A$6:$A$65,0)),""))</f>
        <v/>
      </c>
      <c r="E104" s="24" t="str">
        <f aca="false">IF($B104="","",IF(COUNTIFS($B$5:$B103,$B104)=0,D104,_xlfn.MAXIFS($A$5:$A103,$B$5:$B103,$B104)))</f>
        <v/>
      </c>
      <c r="F104" s="25" t="str">
        <f aca="false">IF(OR($B104="",A104=""),"",MAX(0,A104-E104))</f>
        <v/>
      </c>
      <c r="G104" s="19" t="str">
        <f aca="false">IF($B104="","",IFERROR(INDEX(Loans!$E$6:$E$65,MATCH($B104,Loans!$A$6:$A$65,0)),0)-SUMIFS($K$5:$K103,$B$5:$B103,$B104))</f>
        <v/>
      </c>
      <c r="H104" s="19" t="str">
        <f aca="false">IF(OR($B104="",F104=""),"",ROUND(G104*Start!$B$7*F104/Start!$B$8,2))</f>
        <v/>
      </c>
      <c r="I104" s="19" t="str">
        <f aca="false">IF($B104="","",SUMIFS($H$5:$H103,$B$5:$B103,$B104)-SUMIFS($J$5:$J103,$B$5:$B103,$B104))</f>
        <v/>
      </c>
      <c r="J104" s="19" t="str">
        <f aca="false">IF(OR($B104="",H104=""),"",MIN(C104,H104+I104))</f>
        <v/>
      </c>
      <c r="K104" s="18" t="str">
        <f aca="false">IF(OR($B104="",J104=""),"",MAX(0,MIN(C104-J104,G104)))</f>
        <v/>
      </c>
      <c r="L104" s="18" t="str">
        <f aca="false">IF(OR($B104="",K104=""),"",G104-K104)</f>
        <v/>
      </c>
      <c r="M104" s="19" t="str">
        <f aca="false">IF(OR($B104="",J104=""),"",H104+I104-J104)</f>
        <v/>
      </c>
    </row>
    <row r="105" customFormat="false" ht="15" hidden="false" customHeight="false" outlineLevel="0" collapsed="false">
      <c r="A105" s="14"/>
      <c r="B105" s="5"/>
      <c r="C105" s="9"/>
      <c r="D105" s="24" t="str">
        <f aca="false">IF($B105="","",IFERROR(INDEX(Loans!$D$6:$D$65,MATCH($B105,Loans!$A$6:$A$65,0)),""))</f>
        <v/>
      </c>
      <c r="E105" s="24" t="str">
        <f aca="false">IF($B105="","",IF(COUNTIFS($B$5:$B104,$B105)=0,D105,_xlfn.MAXIFS($A$5:$A104,$B$5:$B104,$B105)))</f>
        <v/>
      </c>
      <c r="F105" s="25" t="str">
        <f aca="false">IF(OR($B105="",A105=""),"",MAX(0,A105-E105))</f>
        <v/>
      </c>
      <c r="G105" s="19" t="str">
        <f aca="false">IF($B105="","",IFERROR(INDEX(Loans!$E$6:$E$65,MATCH($B105,Loans!$A$6:$A$65,0)),0)-SUMIFS($K$5:$K104,$B$5:$B104,$B105))</f>
        <v/>
      </c>
      <c r="H105" s="19" t="str">
        <f aca="false">IF(OR($B105="",F105=""),"",ROUND(G105*Start!$B$7*F105/Start!$B$8,2))</f>
        <v/>
      </c>
      <c r="I105" s="19" t="str">
        <f aca="false">IF($B105="","",SUMIFS($H$5:$H104,$B$5:$B104,$B105)-SUMIFS($J$5:$J104,$B$5:$B104,$B105))</f>
        <v/>
      </c>
      <c r="J105" s="19" t="str">
        <f aca="false">IF(OR($B105="",H105=""),"",MIN(C105,H105+I105))</f>
        <v/>
      </c>
      <c r="K105" s="18" t="str">
        <f aca="false">IF(OR($B105="",J105=""),"",MAX(0,MIN(C105-J105,G105)))</f>
        <v/>
      </c>
      <c r="L105" s="18" t="str">
        <f aca="false">IF(OR($B105="",K105=""),"",G105-K105)</f>
        <v/>
      </c>
      <c r="M105" s="19" t="str">
        <f aca="false">IF(OR($B105="",J105=""),"",H105+I105-J105)</f>
        <v/>
      </c>
    </row>
    <row r="106" customFormat="false" ht="15" hidden="false" customHeight="false" outlineLevel="0" collapsed="false">
      <c r="A106" s="14"/>
      <c r="B106" s="5"/>
      <c r="C106" s="9"/>
      <c r="D106" s="24" t="str">
        <f aca="false">IF($B106="","",IFERROR(INDEX(Loans!$D$6:$D$65,MATCH($B106,Loans!$A$6:$A$65,0)),""))</f>
        <v/>
      </c>
      <c r="E106" s="24" t="str">
        <f aca="false">IF($B106="","",IF(COUNTIFS($B$5:$B105,$B106)=0,D106,_xlfn.MAXIFS($A$5:$A105,$B$5:$B105,$B106)))</f>
        <v/>
      </c>
      <c r="F106" s="25" t="str">
        <f aca="false">IF(OR($B106="",A106=""),"",MAX(0,A106-E106))</f>
        <v/>
      </c>
      <c r="G106" s="19" t="str">
        <f aca="false">IF($B106="","",IFERROR(INDEX(Loans!$E$6:$E$65,MATCH($B106,Loans!$A$6:$A$65,0)),0)-SUMIFS($K$5:$K105,$B$5:$B105,$B106))</f>
        <v/>
      </c>
      <c r="H106" s="19" t="str">
        <f aca="false">IF(OR($B106="",F106=""),"",ROUND(G106*Start!$B$7*F106/Start!$B$8,2))</f>
        <v/>
      </c>
      <c r="I106" s="19" t="str">
        <f aca="false">IF($B106="","",SUMIFS($H$5:$H105,$B$5:$B105,$B106)-SUMIFS($J$5:$J105,$B$5:$B105,$B106))</f>
        <v/>
      </c>
      <c r="J106" s="19" t="str">
        <f aca="false">IF(OR($B106="",H106=""),"",MIN(C106,H106+I106))</f>
        <v/>
      </c>
      <c r="K106" s="18" t="str">
        <f aca="false">IF(OR($B106="",J106=""),"",MAX(0,MIN(C106-J106,G106)))</f>
        <v/>
      </c>
      <c r="L106" s="18" t="str">
        <f aca="false">IF(OR($B106="",K106=""),"",G106-K106)</f>
        <v/>
      </c>
      <c r="M106" s="19" t="str">
        <f aca="false">IF(OR($B106="",J106=""),"",H106+I106-J106)</f>
        <v/>
      </c>
    </row>
    <row r="107" customFormat="false" ht="15" hidden="false" customHeight="false" outlineLevel="0" collapsed="false">
      <c r="A107" s="14"/>
      <c r="B107" s="5"/>
      <c r="C107" s="9"/>
      <c r="D107" s="24" t="str">
        <f aca="false">IF($B107="","",IFERROR(INDEX(Loans!$D$6:$D$65,MATCH($B107,Loans!$A$6:$A$65,0)),""))</f>
        <v/>
      </c>
      <c r="E107" s="24" t="str">
        <f aca="false">IF($B107="","",IF(COUNTIFS($B$5:$B106,$B107)=0,D107,_xlfn.MAXIFS($A$5:$A106,$B$5:$B106,$B107)))</f>
        <v/>
      </c>
      <c r="F107" s="25" t="str">
        <f aca="false">IF(OR($B107="",A107=""),"",MAX(0,A107-E107))</f>
        <v/>
      </c>
      <c r="G107" s="19" t="str">
        <f aca="false">IF($B107="","",IFERROR(INDEX(Loans!$E$6:$E$65,MATCH($B107,Loans!$A$6:$A$65,0)),0)-SUMIFS($K$5:$K106,$B$5:$B106,$B107))</f>
        <v/>
      </c>
      <c r="H107" s="19" t="str">
        <f aca="false">IF(OR($B107="",F107=""),"",ROUND(G107*Start!$B$7*F107/Start!$B$8,2))</f>
        <v/>
      </c>
      <c r="I107" s="19" t="str">
        <f aca="false">IF($B107="","",SUMIFS($H$5:$H106,$B$5:$B106,$B107)-SUMIFS($J$5:$J106,$B$5:$B106,$B107))</f>
        <v/>
      </c>
      <c r="J107" s="19" t="str">
        <f aca="false">IF(OR($B107="",H107=""),"",MIN(C107,H107+I107))</f>
        <v/>
      </c>
      <c r="K107" s="18" t="str">
        <f aca="false">IF(OR($B107="",J107=""),"",MAX(0,MIN(C107-J107,G107)))</f>
        <v/>
      </c>
      <c r="L107" s="18" t="str">
        <f aca="false">IF(OR($B107="",K107=""),"",G107-K107)</f>
        <v/>
      </c>
      <c r="M107" s="19" t="str">
        <f aca="false">IF(OR($B107="",J107=""),"",H107+I107-J107)</f>
        <v/>
      </c>
    </row>
    <row r="108" customFormat="false" ht="15" hidden="false" customHeight="false" outlineLevel="0" collapsed="false">
      <c r="A108" s="14"/>
      <c r="B108" s="5"/>
      <c r="C108" s="9"/>
      <c r="D108" s="24" t="str">
        <f aca="false">IF($B108="","",IFERROR(INDEX(Loans!$D$6:$D$65,MATCH($B108,Loans!$A$6:$A$65,0)),""))</f>
        <v/>
      </c>
      <c r="E108" s="24" t="str">
        <f aca="false">IF($B108="","",IF(COUNTIFS($B$5:$B107,$B108)=0,D108,_xlfn.MAXIFS($A$5:$A107,$B$5:$B107,$B108)))</f>
        <v/>
      </c>
      <c r="F108" s="25" t="str">
        <f aca="false">IF(OR($B108="",A108=""),"",MAX(0,A108-E108))</f>
        <v/>
      </c>
      <c r="G108" s="19" t="str">
        <f aca="false">IF($B108="","",IFERROR(INDEX(Loans!$E$6:$E$65,MATCH($B108,Loans!$A$6:$A$65,0)),0)-SUMIFS($K$5:$K107,$B$5:$B107,$B108))</f>
        <v/>
      </c>
      <c r="H108" s="19" t="str">
        <f aca="false">IF(OR($B108="",F108=""),"",ROUND(G108*Start!$B$7*F108/Start!$B$8,2))</f>
        <v/>
      </c>
      <c r="I108" s="19" t="str">
        <f aca="false">IF($B108="","",SUMIFS($H$5:$H107,$B$5:$B107,$B108)-SUMIFS($J$5:$J107,$B$5:$B107,$B108))</f>
        <v/>
      </c>
      <c r="J108" s="19" t="str">
        <f aca="false">IF(OR($B108="",H108=""),"",MIN(C108,H108+I108))</f>
        <v/>
      </c>
      <c r="K108" s="18" t="str">
        <f aca="false">IF(OR($B108="",J108=""),"",MAX(0,MIN(C108-J108,G108)))</f>
        <v/>
      </c>
      <c r="L108" s="18" t="str">
        <f aca="false">IF(OR($B108="",K108=""),"",G108-K108)</f>
        <v/>
      </c>
      <c r="M108" s="19" t="str">
        <f aca="false">IF(OR($B108="",J108=""),"",H108+I108-J108)</f>
        <v/>
      </c>
    </row>
    <row r="109" customFormat="false" ht="15" hidden="false" customHeight="false" outlineLevel="0" collapsed="false">
      <c r="A109" s="14"/>
      <c r="B109" s="5"/>
      <c r="C109" s="9"/>
      <c r="D109" s="24" t="str">
        <f aca="false">IF($B109="","",IFERROR(INDEX(Loans!$D$6:$D$65,MATCH($B109,Loans!$A$6:$A$65,0)),""))</f>
        <v/>
      </c>
      <c r="E109" s="24" t="str">
        <f aca="false">IF($B109="","",IF(COUNTIFS($B$5:$B108,$B109)=0,D109,_xlfn.MAXIFS($A$5:$A108,$B$5:$B108,$B109)))</f>
        <v/>
      </c>
      <c r="F109" s="25" t="str">
        <f aca="false">IF(OR($B109="",A109=""),"",MAX(0,A109-E109))</f>
        <v/>
      </c>
      <c r="G109" s="19" t="str">
        <f aca="false">IF($B109="","",IFERROR(INDEX(Loans!$E$6:$E$65,MATCH($B109,Loans!$A$6:$A$65,0)),0)-SUMIFS($K$5:$K108,$B$5:$B108,$B109))</f>
        <v/>
      </c>
      <c r="H109" s="19" t="str">
        <f aca="false">IF(OR($B109="",F109=""),"",ROUND(G109*Start!$B$7*F109/Start!$B$8,2))</f>
        <v/>
      </c>
      <c r="I109" s="19" t="str">
        <f aca="false">IF($B109="","",SUMIFS($H$5:$H108,$B$5:$B108,$B109)-SUMIFS($J$5:$J108,$B$5:$B108,$B109))</f>
        <v/>
      </c>
      <c r="J109" s="19" t="str">
        <f aca="false">IF(OR($B109="",H109=""),"",MIN(C109,H109+I109))</f>
        <v/>
      </c>
      <c r="K109" s="18" t="str">
        <f aca="false">IF(OR($B109="",J109=""),"",MAX(0,MIN(C109-J109,G109)))</f>
        <v/>
      </c>
      <c r="L109" s="18" t="str">
        <f aca="false">IF(OR($B109="",K109=""),"",G109-K109)</f>
        <v/>
      </c>
      <c r="M109" s="19" t="str">
        <f aca="false">IF(OR($B109="",J109=""),"",H109+I109-J109)</f>
        <v/>
      </c>
    </row>
    <row r="110" customFormat="false" ht="15" hidden="false" customHeight="false" outlineLevel="0" collapsed="false">
      <c r="A110" s="14"/>
      <c r="B110" s="5"/>
      <c r="C110" s="9"/>
      <c r="D110" s="24" t="str">
        <f aca="false">IF($B110="","",IFERROR(INDEX(Loans!$D$6:$D$65,MATCH($B110,Loans!$A$6:$A$65,0)),""))</f>
        <v/>
      </c>
      <c r="E110" s="24" t="str">
        <f aca="false">IF($B110="","",IF(COUNTIFS($B$5:$B109,$B110)=0,D110,_xlfn.MAXIFS($A$5:$A109,$B$5:$B109,$B110)))</f>
        <v/>
      </c>
      <c r="F110" s="25" t="str">
        <f aca="false">IF(OR($B110="",A110=""),"",MAX(0,A110-E110))</f>
        <v/>
      </c>
      <c r="G110" s="19" t="str">
        <f aca="false">IF($B110="","",IFERROR(INDEX(Loans!$E$6:$E$65,MATCH($B110,Loans!$A$6:$A$65,0)),0)-SUMIFS($K$5:$K109,$B$5:$B109,$B110))</f>
        <v/>
      </c>
      <c r="H110" s="19" t="str">
        <f aca="false">IF(OR($B110="",F110=""),"",ROUND(G110*Start!$B$7*F110/Start!$B$8,2))</f>
        <v/>
      </c>
      <c r="I110" s="19" t="str">
        <f aca="false">IF($B110="","",SUMIFS($H$5:$H109,$B$5:$B109,$B110)-SUMIFS($J$5:$J109,$B$5:$B109,$B110))</f>
        <v/>
      </c>
      <c r="J110" s="19" t="str">
        <f aca="false">IF(OR($B110="",H110=""),"",MIN(C110,H110+I110))</f>
        <v/>
      </c>
      <c r="K110" s="18" t="str">
        <f aca="false">IF(OR($B110="",J110=""),"",MAX(0,MIN(C110-J110,G110)))</f>
        <v/>
      </c>
      <c r="L110" s="18" t="str">
        <f aca="false">IF(OR($B110="",K110=""),"",G110-K110)</f>
        <v/>
      </c>
      <c r="M110" s="19" t="str">
        <f aca="false">IF(OR($B110="",J110=""),"",H110+I110-J110)</f>
        <v/>
      </c>
    </row>
    <row r="111" customFormat="false" ht="15" hidden="false" customHeight="false" outlineLevel="0" collapsed="false">
      <c r="A111" s="14"/>
      <c r="B111" s="5"/>
      <c r="C111" s="9"/>
      <c r="D111" s="24" t="str">
        <f aca="false">IF($B111="","",IFERROR(INDEX(Loans!$D$6:$D$65,MATCH($B111,Loans!$A$6:$A$65,0)),""))</f>
        <v/>
      </c>
      <c r="E111" s="24" t="str">
        <f aca="false">IF($B111="","",IF(COUNTIFS($B$5:$B110,$B111)=0,D111,_xlfn.MAXIFS($A$5:$A110,$B$5:$B110,$B111)))</f>
        <v/>
      </c>
      <c r="F111" s="25" t="str">
        <f aca="false">IF(OR($B111="",A111=""),"",MAX(0,A111-E111))</f>
        <v/>
      </c>
      <c r="G111" s="19" t="str">
        <f aca="false">IF($B111="","",IFERROR(INDEX(Loans!$E$6:$E$65,MATCH($B111,Loans!$A$6:$A$65,0)),0)-SUMIFS($K$5:$K110,$B$5:$B110,$B111))</f>
        <v/>
      </c>
      <c r="H111" s="19" t="str">
        <f aca="false">IF(OR($B111="",F111=""),"",ROUND(G111*Start!$B$7*F111/Start!$B$8,2))</f>
        <v/>
      </c>
      <c r="I111" s="19" t="str">
        <f aca="false">IF($B111="","",SUMIFS($H$5:$H110,$B$5:$B110,$B111)-SUMIFS($J$5:$J110,$B$5:$B110,$B111))</f>
        <v/>
      </c>
      <c r="J111" s="19" t="str">
        <f aca="false">IF(OR($B111="",H111=""),"",MIN(C111,H111+I111))</f>
        <v/>
      </c>
      <c r="K111" s="18" t="str">
        <f aca="false">IF(OR($B111="",J111=""),"",MAX(0,MIN(C111-J111,G111)))</f>
        <v/>
      </c>
      <c r="L111" s="18" t="str">
        <f aca="false">IF(OR($B111="",K111=""),"",G111-K111)</f>
        <v/>
      </c>
      <c r="M111" s="19" t="str">
        <f aca="false">IF(OR($B111="",J111=""),"",H111+I111-J111)</f>
        <v/>
      </c>
    </row>
    <row r="112" customFormat="false" ht="15" hidden="false" customHeight="false" outlineLevel="0" collapsed="false">
      <c r="A112" s="14"/>
      <c r="B112" s="5"/>
      <c r="C112" s="9"/>
      <c r="D112" s="24" t="str">
        <f aca="false">IF($B112="","",IFERROR(INDEX(Loans!$D$6:$D$65,MATCH($B112,Loans!$A$6:$A$65,0)),""))</f>
        <v/>
      </c>
      <c r="E112" s="24" t="str">
        <f aca="false">IF($B112="","",IF(COUNTIFS($B$5:$B111,$B112)=0,D112,_xlfn.MAXIFS($A$5:$A111,$B$5:$B111,$B112)))</f>
        <v/>
      </c>
      <c r="F112" s="25" t="str">
        <f aca="false">IF(OR($B112="",A112=""),"",MAX(0,A112-E112))</f>
        <v/>
      </c>
      <c r="G112" s="19" t="str">
        <f aca="false">IF($B112="","",IFERROR(INDEX(Loans!$E$6:$E$65,MATCH($B112,Loans!$A$6:$A$65,0)),0)-SUMIFS($K$5:$K111,$B$5:$B111,$B112))</f>
        <v/>
      </c>
      <c r="H112" s="19" t="str">
        <f aca="false">IF(OR($B112="",F112=""),"",ROUND(G112*Start!$B$7*F112/Start!$B$8,2))</f>
        <v/>
      </c>
      <c r="I112" s="19" t="str">
        <f aca="false">IF($B112="","",SUMIFS($H$5:$H111,$B$5:$B111,$B112)-SUMIFS($J$5:$J111,$B$5:$B111,$B112))</f>
        <v/>
      </c>
      <c r="J112" s="19" t="str">
        <f aca="false">IF(OR($B112="",H112=""),"",MIN(C112,H112+I112))</f>
        <v/>
      </c>
      <c r="K112" s="18" t="str">
        <f aca="false">IF(OR($B112="",J112=""),"",MAX(0,MIN(C112-J112,G112)))</f>
        <v/>
      </c>
      <c r="L112" s="18" t="str">
        <f aca="false">IF(OR($B112="",K112=""),"",G112-K112)</f>
        <v/>
      </c>
      <c r="M112" s="19" t="str">
        <f aca="false">IF(OR($B112="",J112=""),"",H112+I112-J112)</f>
        <v/>
      </c>
    </row>
    <row r="113" customFormat="false" ht="15" hidden="false" customHeight="false" outlineLevel="0" collapsed="false">
      <c r="A113" s="14"/>
      <c r="B113" s="5"/>
      <c r="C113" s="9"/>
      <c r="D113" s="24" t="str">
        <f aca="false">IF($B113="","",IFERROR(INDEX(Loans!$D$6:$D$65,MATCH($B113,Loans!$A$6:$A$65,0)),""))</f>
        <v/>
      </c>
      <c r="E113" s="24" t="str">
        <f aca="false">IF($B113="","",IF(COUNTIFS($B$5:$B112,$B113)=0,D113,_xlfn.MAXIFS($A$5:$A112,$B$5:$B112,$B113)))</f>
        <v/>
      </c>
      <c r="F113" s="25" t="str">
        <f aca="false">IF(OR($B113="",A113=""),"",MAX(0,A113-E113))</f>
        <v/>
      </c>
      <c r="G113" s="19" t="str">
        <f aca="false">IF($B113="","",IFERROR(INDEX(Loans!$E$6:$E$65,MATCH($B113,Loans!$A$6:$A$65,0)),0)-SUMIFS($K$5:$K112,$B$5:$B112,$B113))</f>
        <v/>
      </c>
      <c r="H113" s="19" t="str">
        <f aca="false">IF(OR($B113="",F113=""),"",ROUND(G113*Start!$B$7*F113/Start!$B$8,2))</f>
        <v/>
      </c>
      <c r="I113" s="19" t="str">
        <f aca="false">IF($B113="","",SUMIFS($H$5:$H112,$B$5:$B112,$B113)-SUMIFS($J$5:$J112,$B$5:$B112,$B113))</f>
        <v/>
      </c>
      <c r="J113" s="19" t="str">
        <f aca="false">IF(OR($B113="",H113=""),"",MIN(C113,H113+I113))</f>
        <v/>
      </c>
      <c r="K113" s="18" t="str">
        <f aca="false">IF(OR($B113="",J113=""),"",MAX(0,MIN(C113-J113,G113)))</f>
        <v/>
      </c>
      <c r="L113" s="18" t="str">
        <f aca="false">IF(OR($B113="",K113=""),"",G113-K113)</f>
        <v/>
      </c>
      <c r="M113" s="19" t="str">
        <f aca="false">IF(OR($B113="",J113=""),"",H113+I113-J113)</f>
        <v/>
      </c>
    </row>
    <row r="114" customFormat="false" ht="15" hidden="false" customHeight="false" outlineLevel="0" collapsed="false">
      <c r="A114" s="14"/>
      <c r="B114" s="5"/>
      <c r="C114" s="9"/>
      <c r="D114" s="24" t="str">
        <f aca="false">IF($B114="","",IFERROR(INDEX(Loans!$D$6:$D$65,MATCH($B114,Loans!$A$6:$A$65,0)),""))</f>
        <v/>
      </c>
      <c r="E114" s="24" t="str">
        <f aca="false">IF($B114="","",IF(COUNTIFS($B$5:$B113,$B114)=0,D114,_xlfn.MAXIFS($A$5:$A113,$B$5:$B113,$B114)))</f>
        <v/>
      </c>
      <c r="F114" s="25" t="str">
        <f aca="false">IF(OR($B114="",A114=""),"",MAX(0,A114-E114))</f>
        <v/>
      </c>
      <c r="G114" s="19" t="str">
        <f aca="false">IF($B114="","",IFERROR(INDEX(Loans!$E$6:$E$65,MATCH($B114,Loans!$A$6:$A$65,0)),0)-SUMIFS($K$5:$K113,$B$5:$B113,$B114))</f>
        <v/>
      </c>
      <c r="H114" s="19" t="str">
        <f aca="false">IF(OR($B114="",F114=""),"",ROUND(G114*Start!$B$7*F114/Start!$B$8,2))</f>
        <v/>
      </c>
      <c r="I114" s="19" t="str">
        <f aca="false">IF($B114="","",SUMIFS($H$5:$H113,$B$5:$B113,$B114)-SUMIFS($J$5:$J113,$B$5:$B113,$B114))</f>
        <v/>
      </c>
      <c r="J114" s="19" t="str">
        <f aca="false">IF(OR($B114="",H114=""),"",MIN(C114,H114+I114))</f>
        <v/>
      </c>
      <c r="K114" s="18" t="str">
        <f aca="false">IF(OR($B114="",J114=""),"",MAX(0,MIN(C114-J114,G114)))</f>
        <v/>
      </c>
      <c r="L114" s="18" t="str">
        <f aca="false">IF(OR($B114="",K114=""),"",G114-K114)</f>
        <v/>
      </c>
      <c r="M114" s="19" t="str">
        <f aca="false">IF(OR($B114="",J114=""),"",H114+I114-J114)</f>
        <v/>
      </c>
    </row>
    <row r="115" customFormat="false" ht="15" hidden="false" customHeight="false" outlineLevel="0" collapsed="false">
      <c r="A115" s="14"/>
      <c r="B115" s="5"/>
      <c r="C115" s="9"/>
      <c r="D115" s="24" t="str">
        <f aca="false">IF($B115="","",IFERROR(INDEX(Loans!$D$6:$D$65,MATCH($B115,Loans!$A$6:$A$65,0)),""))</f>
        <v/>
      </c>
      <c r="E115" s="24" t="str">
        <f aca="false">IF($B115="","",IF(COUNTIFS($B$5:$B114,$B115)=0,D115,_xlfn.MAXIFS($A$5:$A114,$B$5:$B114,$B115)))</f>
        <v/>
      </c>
      <c r="F115" s="25" t="str">
        <f aca="false">IF(OR($B115="",A115=""),"",MAX(0,A115-E115))</f>
        <v/>
      </c>
      <c r="G115" s="19" t="str">
        <f aca="false">IF($B115="","",IFERROR(INDEX(Loans!$E$6:$E$65,MATCH($B115,Loans!$A$6:$A$65,0)),0)-SUMIFS($K$5:$K114,$B$5:$B114,$B115))</f>
        <v/>
      </c>
      <c r="H115" s="19" t="str">
        <f aca="false">IF(OR($B115="",F115=""),"",ROUND(G115*Start!$B$7*F115/Start!$B$8,2))</f>
        <v/>
      </c>
      <c r="I115" s="19" t="str">
        <f aca="false">IF($B115="","",SUMIFS($H$5:$H114,$B$5:$B114,$B115)-SUMIFS($J$5:$J114,$B$5:$B114,$B115))</f>
        <v/>
      </c>
      <c r="J115" s="19" t="str">
        <f aca="false">IF(OR($B115="",H115=""),"",MIN(C115,H115+I115))</f>
        <v/>
      </c>
      <c r="K115" s="18" t="str">
        <f aca="false">IF(OR($B115="",J115=""),"",MAX(0,MIN(C115-J115,G115)))</f>
        <v/>
      </c>
      <c r="L115" s="18" t="str">
        <f aca="false">IF(OR($B115="",K115=""),"",G115-K115)</f>
        <v/>
      </c>
      <c r="M115" s="19" t="str">
        <f aca="false">IF(OR($B115="",J115=""),"",H115+I115-J115)</f>
        <v/>
      </c>
    </row>
    <row r="116" customFormat="false" ht="15" hidden="false" customHeight="false" outlineLevel="0" collapsed="false">
      <c r="A116" s="14"/>
      <c r="B116" s="5"/>
      <c r="C116" s="9"/>
      <c r="D116" s="24" t="str">
        <f aca="false">IF($B116="","",IFERROR(INDEX(Loans!$D$6:$D$65,MATCH($B116,Loans!$A$6:$A$65,0)),""))</f>
        <v/>
      </c>
      <c r="E116" s="24" t="str">
        <f aca="false">IF($B116="","",IF(COUNTIFS($B$5:$B115,$B116)=0,D116,_xlfn.MAXIFS($A$5:$A115,$B$5:$B115,$B116)))</f>
        <v/>
      </c>
      <c r="F116" s="25" t="str">
        <f aca="false">IF(OR($B116="",A116=""),"",MAX(0,A116-E116))</f>
        <v/>
      </c>
      <c r="G116" s="19" t="str">
        <f aca="false">IF($B116="","",IFERROR(INDEX(Loans!$E$6:$E$65,MATCH($B116,Loans!$A$6:$A$65,0)),0)-SUMIFS($K$5:$K115,$B$5:$B115,$B116))</f>
        <v/>
      </c>
      <c r="H116" s="19" t="str">
        <f aca="false">IF(OR($B116="",F116=""),"",ROUND(G116*Start!$B$7*F116/Start!$B$8,2))</f>
        <v/>
      </c>
      <c r="I116" s="19" t="str">
        <f aca="false">IF($B116="","",SUMIFS($H$5:$H115,$B$5:$B115,$B116)-SUMIFS($J$5:$J115,$B$5:$B115,$B116))</f>
        <v/>
      </c>
      <c r="J116" s="19" t="str">
        <f aca="false">IF(OR($B116="",H116=""),"",MIN(C116,H116+I116))</f>
        <v/>
      </c>
      <c r="K116" s="18" t="str">
        <f aca="false">IF(OR($B116="",J116=""),"",MAX(0,MIN(C116-J116,G116)))</f>
        <v/>
      </c>
      <c r="L116" s="18" t="str">
        <f aca="false">IF(OR($B116="",K116=""),"",G116-K116)</f>
        <v/>
      </c>
      <c r="M116" s="19" t="str">
        <f aca="false">IF(OR($B116="",J116=""),"",H116+I116-J116)</f>
        <v/>
      </c>
    </row>
    <row r="117" customFormat="false" ht="15" hidden="false" customHeight="false" outlineLevel="0" collapsed="false">
      <c r="A117" s="14"/>
      <c r="B117" s="5"/>
      <c r="C117" s="9"/>
      <c r="D117" s="24" t="str">
        <f aca="false">IF($B117="","",IFERROR(INDEX(Loans!$D$6:$D$65,MATCH($B117,Loans!$A$6:$A$65,0)),""))</f>
        <v/>
      </c>
      <c r="E117" s="24" t="str">
        <f aca="false">IF($B117="","",IF(COUNTIFS($B$5:$B116,$B117)=0,D117,_xlfn.MAXIFS($A$5:$A116,$B$5:$B116,$B117)))</f>
        <v/>
      </c>
      <c r="F117" s="25" t="str">
        <f aca="false">IF(OR($B117="",A117=""),"",MAX(0,A117-E117))</f>
        <v/>
      </c>
      <c r="G117" s="19" t="str">
        <f aca="false">IF($B117="","",IFERROR(INDEX(Loans!$E$6:$E$65,MATCH($B117,Loans!$A$6:$A$65,0)),0)-SUMIFS($K$5:$K116,$B$5:$B116,$B117))</f>
        <v/>
      </c>
      <c r="H117" s="19" t="str">
        <f aca="false">IF(OR($B117="",F117=""),"",ROUND(G117*Start!$B$7*F117/Start!$B$8,2))</f>
        <v/>
      </c>
      <c r="I117" s="19" t="str">
        <f aca="false">IF($B117="","",SUMIFS($H$5:$H116,$B$5:$B116,$B117)-SUMIFS($J$5:$J116,$B$5:$B116,$B117))</f>
        <v/>
      </c>
      <c r="J117" s="19" t="str">
        <f aca="false">IF(OR($B117="",H117=""),"",MIN(C117,H117+I117))</f>
        <v/>
      </c>
      <c r="K117" s="18" t="str">
        <f aca="false">IF(OR($B117="",J117=""),"",MAX(0,MIN(C117-J117,G117)))</f>
        <v/>
      </c>
      <c r="L117" s="18" t="str">
        <f aca="false">IF(OR($B117="",K117=""),"",G117-K117)</f>
        <v/>
      </c>
      <c r="M117" s="19" t="str">
        <f aca="false">IF(OR($B117="",J117=""),"",H117+I117-J117)</f>
        <v/>
      </c>
    </row>
    <row r="118" customFormat="false" ht="15" hidden="false" customHeight="false" outlineLevel="0" collapsed="false">
      <c r="A118" s="14"/>
      <c r="B118" s="5"/>
      <c r="C118" s="9"/>
      <c r="D118" s="24" t="str">
        <f aca="false">IF($B118="","",IFERROR(INDEX(Loans!$D$6:$D$65,MATCH($B118,Loans!$A$6:$A$65,0)),""))</f>
        <v/>
      </c>
      <c r="E118" s="24" t="str">
        <f aca="false">IF($B118="","",IF(COUNTIFS($B$5:$B117,$B118)=0,D118,_xlfn.MAXIFS($A$5:$A117,$B$5:$B117,$B118)))</f>
        <v/>
      </c>
      <c r="F118" s="25" t="str">
        <f aca="false">IF(OR($B118="",A118=""),"",MAX(0,A118-E118))</f>
        <v/>
      </c>
      <c r="G118" s="19" t="str">
        <f aca="false">IF($B118="","",IFERROR(INDEX(Loans!$E$6:$E$65,MATCH($B118,Loans!$A$6:$A$65,0)),0)-SUMIFS($K$5:$K117,$B$5:$B117,$B118))</f>
        <v/>
      </c>
      <c r="H118" s="19" t="str">
        <f aca="false">IF(OR($B118="",F118=""),"",ROUND(G118*Start!$B$7*F118/Start!$B$8,2))</f>
        <v/>
      </c>
      <c r="I118" s="19" t="str">
        <f aca="false">IF($B118="","",SUMIFS($H$5:$H117,$B$5:$B117,$B118)-SUMIFS($J$5:$J117,$B$5:$B117,$B118))</f>
        <v/>
      </c>
      <c r="J118" s="19" t="str">
        <f aca="false">IF(OR($B118="",H118=""),"",MIN(C118,H118+I118))</f>
        <v/>
      </c>
      <c r="K118" s="18" t="str">
        <f aca="false">IF(OR($B118="",J118=""),"",MAX(0,MIN(C118-J118,G118)))</f>
        <v/>
      </c>
      <c r="L118" s="18" t="str">
        <f aca="false">IF(OR($B118="",K118=""),"",G118-K118)</f>
        <v/>
      </c>
      <c r="M118" s="19" t="str">
        <f aca="false">IF(OR($B118="",J118=""),"",H118+I118-J118)</f>
        <v/>
      </c>
    </row>
    <row r="119" customFormat="false" ht="15" hidden="false" customHeight="false" outlineLevel="0" collapsed="false">
      <c r="A119" s="14"/>
      <c r="B119" s="5"/>
      <c r="C119" s="9"/>
      <c r="D119" s="24" t="str">
        <f aca="false">IF($B119="","",IFERROR(INDEX(Loans!$D$6:$D$65,MATCH($B119,Loans!$A$6:$A$65,0)),""))</f>
        <v/>
      </c>
      <c r="E119" s="24" t="str">
        <f aca="false">IF($B119="","",IF(COUNTIFS($B$5:$B118,$B119)=0,D119,_xlfn.MAXIFS($A$5:$A118,$B$5:$B118,$B119)))</f>
        <v/>
      </c>
      <c r="F119" s="25" t="str">
        <f aca="false">IF(OR($B119="",A119=""),"",MAX(0,A119-E119))</f>
        <v/>
      </c>
      <c r="G119" s="19" t="str">
        <f aca="false">IF($B119="","",IFERROR(INDEX(Loans!$E$6:$E$65,MATCH($B119,Loans!$A$6:$A$65,0)),0)-SUMIFS($K$5:$K118,$B$5:$B118,$B119))</f>
        <v/>
      </c>
      <c r="H119" s="19" t="str">
        <f aca="false">IF(OR($B119="",F119=""),"",ROUND(G119*Start!$B$7*F119/Start!$B$8,2))</f>
        <v/>
      </c>
      <c r="I119" s="19" t="str">
        <f aca="false">IF($B119="","",SUMIFS($H$5:$H118,$B$5:$B118,$B119)-SUMIFS($J$5:$J118,$B$5:$B118,$B119))</f>
        <v/>
      </c>
      <c r="J119" s="19" t="str">
        <f aca="false">IF(OR($B119="",H119=""),"",MIN(C119,H119+I119))</f>
        <v/>
      </c>
      <c r="K119" s="18" t="str">
        <f aca="false">IF(OR($B119="",J119=""),"",MAX(0,MIN(C119-J119,G119)))</f>
        <v/>
      </c>
      <c r="L119" s="18" t="str">
        <f aca="false">IF(OR($B119="",K119=""),"",G119-K119)</f>
        <v/>
      </c>
      <c r="M119" s="19" t="str">
        <f aca="false">IF(OR($B119="",J119=""),"",H119+I119-J119)</f>
        <v/>
      </c>
    </row>
    <row r="120" customFormat="false" ht="15" hidden="false" customHeight="false" outlineLevel="0" collapsed="false">
      <c r="A120" s="14"/>
      <c r="B120" s="5"/>
      <c r="C120" s="9"/>
      <c r="D120" s="24" t="str">
        <f aca="false">IF($B120="","",IFERROR(INDEX(Loans!$D$6:$D$65,MATCH($B120,Loans!$A$6:$A$65,0)),""))</f>
        <v/>
      </c>
      <c r="E120" s="24" t="str">
        <f aca="false">IF($B120="","",IF(COUNTIFS($B$5:$B119,$B120)=0,D120,_xlfn.MAXIFS($A$5:$A119,$B$5:$B119,$B120)))</f>
        <v/>
      </c>
      <c r="F120" s="25" t="str">
        <f aca="false">IF(OR($B120="",A120=""),"",MAX(0,A120-E120))</f>
        <v/>
      </c>
      <c r="G120" s="19" t="str">
        <f aca="false">IF($B120="","",IFERROR(INDEX(Loans!$E$6:$E$65,MATCH($B120,Loans!$A$6:$A$65,0)),0)-SUMIFS($K$5:$K119,$B$5:$B119,$B120))</f>
        <v/>
      </c>
      <c r="H120" s="19" t="str">
        <f aca="false">IF(OR($B120="",F120=""),"",ROUND(G120*Start!$B$7*F120/Start!$B$8,2))</f>
        <v/>
      </c>
      <c r="I120" s="19" t="str">
        <f aca="false">IF($B120="","",SUMIFS($H$5:$H119,$B$5:$B119,$B120)-SUMIFS($J$5:$J119,$B$5:$B119,$B120))</f>
        <v/>
      </c>
      <c r="J120" s="19" t="str">
        <f aca="false">IF(OR($B120="",H120=""),"",MIN(C120,H120+I120))</f>
        <v/>
      </c>
      <c r="K120" s="18" t="str">
        <f aca="false">IF(OR($B120="",J120=""),"",MAX(0,MIN(C120-J120,G120)))</f>
        <v/>
      </c>
      <c r="L120" s="18" t="str">
        <f aca="false">IF(OR($B120="",K120=""),"",G120-K120)</f>
        <v/>
      </c>
      <c r="M120" s="19" t="str">
        <f aca="false">IF(OR($B120="",J120=""),"",H120+I120-J120)</f>
        <v/>
      </c>
    </row>
    <row r="121" customFormat="false" ht="15" hidden="false" customHeight="false" outlineLevel="0" collapsed="false">
      <c r="A121" s="14"/>
      <c r="B121" s="5"/>
      <c r="C121" s="9"/>
      <c r="D121" s="24" t="str">
        <f aca="false">IF($B121="","",IFERROR(INDEX(Loans!$D$6:$D$65,MATCH($B121,Loans!$A$6:$A$65,0)),""))</f>
        <v/>
      </c>
      <c r="E121" s="24" t="str">
        <f aca="false">IF($B121="","",IF(COUNTIFS($B$5:$B120,$B121)=0,D121,_xlfn.MAXIFS($A$5:$A120,$B$5:$B120,$B121)))</f>
        <v/>
      </c>
      <c r="F121" s="25" t="str">
        <f aca="false">IF(OR($B121="",A121=""),"",MAX(0,A121-E121))</f>
        <v/>
      </c>
      <c r="G121" s="19" t="str">
        <f aca="false">IF($B121="","",IFERROR(INDEX(Loans!$E$6:$E$65,MATCH($B121,Loans!$A$6:$A$65,0)),0)-SUMIFS($K$5:$K120,$B$5:$B120,$B121))</f>
        <v/>
      </c>
      <c r="H121" s="19" t="str">
        <f aca="false">IF(OR($B121="",F121=""),"",ROUND(G121*Start!$B$7*F121/Start!$B$8,2))</f>
        <v/>
      </c>
      <c r="I121" s="19" t="str">
        <f aca="false">IF($B121="","",SUMIFS($H$5:$H120,$B$5:$B120,$B121)-SUMIFS($J$5:$J120,$B$5:$B120,$B121))</f>
        <v/>
      </c>
      <c r="J121" s="19" t="str">
        <f aca="false">IF(OR($B121="",H121=""),"",MIN(C121,H121+I121))</f>
        <v/>
      </c>
      <c r="K121" s="18" t="str">
        <f aca="false">IF(OR($B121="",J121=""),"",MAX(0,MIN(C121-J121,G121)))</f>
        <v/>
      </c>
      <c r="L121" s="18" t="str">
        <f aca="false">IF(OR($B121="",K121=""),"",G121-K121)</f>
        <v/>
      </c>
      <c r="M121" s="19" t="str">
        <f aca="false">IF(OR($B121="",J121=""),"",H121+I121-J121)</f>
        <v/>
      </c>
    </row>
    <row r="122" customFormat="false" ht="15" hidden="false" customHeight="false" outlineLevel="0" collapsed="false">
      <c r="A122" s="14"/>
      <c r="B122" s="5"/>
      <c r="C122" s="9"/>
      <c r="D122" s="24" t="str">
        <f aca="false">IF($B122="","",IFERROR(INDEX(Loans!$D$6:$D$65,MATCH($B122,Loans!$A$6:$A$65,0)),""))</f>
        <v/>
      </c>
      <c r="E122" s="24" t="str">
        <f aca="false">IF($B122="","",IF(COUNTIFS($B$5:$B121,$B122)=0,D122,_xlfn.MAXIFS($A$5:$A121,$B$5:$B121,$B122)))</f>
        <v/>
      </c>
      <c r="F122" s="25" t="str">
        <f aca="false">IF(OR($B122="",A122=""),"",MAX(0,A122-E122))</f>
        <v/>
      </c>
      <c r="G122" s="19" t="str">
        <f aca="false">IF($B122="","",IFERROR(INDEX(Loans!$E$6:$E$65,MATCH($B122,Loans!$A$6:$A$65,0)),0)-SUMIFS($K$5:$K121,$B$5:$B121,$B122))</f>
        <v/>
      </c>
      <c r="H122" s="19" t="str">
        <f aca="false">IF(OR($B122="",F122=""),"",ROUND(G122*Start!$B$7*F122/Start!$B$8,2))</f>
        <v/>
      </c>
      <c r="I122" s="19" t="str">
        <f aca="false">IF($B122="","",SUMIFS($H$5:$H121,$B$5:$B121,$B122)-SUMIFS($J$5:$J121,$B$5:$B121,$B122))</f>
        <v/>
      </c>
      <c r="J122" s="19" t="str">
        <f aca="false">IF(OR($B122="",H122=""),"",MIN(C122,H122+I122))</f>
        <v/>
      </c>
      <c r="K122" s="18" t="str">
        <f aca="false">IF(OR($B122="",J122=""),"",MAX(0,MIN(C122-J122,G122)))</f>
        <v/>
      </c>
      <c r="L122" s="18" t="str">
        <f aca="false">IF(OR($B122="",K122=""),"",G122-K122)</f>
        <v/>
      </c>
      <c r="M122" s="19" t="str">
        <f aca="false">IF(OR($B122="",J122=""),"",H122+I122-J122)</f>
        <v/>
      </c>
    </row>
    <row r="123" customFormat="false" ht="15" hidden="false" customHeight="false" outlineLevel="0" collapsed="false">
      <c r="A123" s="14"/>
      <c r="B123" s="5"/>
      <c r="C123" s="9"/>
      <c r="D123" s="24" t="str">
        <f aca="false">IF($B123="","",IFERROR(INDEX(Loans!$D$6:$D$65,MATCH($B123,Loans!$A$6:$A$65,0)),""))</f>
        <v/>
      </c>
      <c r="E123" s="24" t="str">
        <f aca="false">IF($B123="","",IF(COUNTIFS($B$5:$B122,$B123)=0,D123,_xlfn.MAXIFS($A$5:$A122,$B$5:$B122,$B123)))</f>
        <v/>
      </c>
      <c r="F123" s="25" t="str">
        <f aca="false">IF(OR($B123="",A123=""),"",MAX(0,A123-E123))</f>
        <v/>
      </c>
      <c r="G123" s="19" t="str">
        <f aca="false">IF($B123="","",IFERROR(INDEX(Loans!$E$6:$E$65,MATCH($B123,Loans!$A$6:$A$65,0)),0)-SUMIFS($K$5:$K122,$B$5:$B122,$B123))</f>
        <v/>
      </c>
      <c r="H123" s="19" t="str">
        <f aca="false">IF(OR($B123="",F123=""),"",ROUND(G123*Start!$B$7*F123/Start!$B$8,2))</f>
        <v/>
      </c>
      <c r="I123" s="19" t="str">
        <f aca="false">IF($B123="","",SUMIFS($H$5:$H122,$B$5:$B122,$B123)-SUMIFS($J$5:$J122,$B$5:$B122,$B123))</f>
        <v/>
      </c>
      <c r="J123" s="19" t="str">
        <f aca="false">IF(OR($B123="",H123=""),"",MIN(C123,H123+I123))</f>
        <v/>
      </c>
      <c r="K123" s="18" t="str">
        <f aca="false">IF(OR($B123="",J123=""),"",MAX(0,MIN(C123-J123,G123)))</f>
        <v/>
      </c>
      <c r="L123" s="18" t="str">
        <f aca="false">IF(OR($B123="",K123=""),"",G123-K123)</f>
        <v/>
      </c>
      <c r="M123" s="19" t="str">
        <f aca="false">IF(OR($B123="",J123=""),"",H123+I123-J123)</f>
        <v/>
      </c>
    </row>
    <row r="124" customFormat="false" ht="15" hidden="false" customHeight="false" outlineLevel="0" collapsed="false">
      <c r="A124" s="14"/>
      <c r="B124" s="5"/>
      <c r="C124" s="9"/>
      <c r="D124" s="24" t="str">
        <f aca="false">IF($B124="","",IFERROR(INDEX(Loans!$D$6:$D$65,MATCH($B124,Loans!$A$6:$A$65,0)),""))</f>
        <v/>
      </c>
      <c r="E124" s="24" t="str">
        <f aca="false">IF($B124="","",IF(COUNTIFS($B$5:$B123,$B124)=0,D124,_xlfn.MAXIFS($A$5:$A123,$B$5:$B123,$B124)))</f>
        <v/>
      </c>
      <c r="F124" s="25" t="str">
        <f aca="false">IF(OR($B124="",A124=""),"",MAX(0,A124-E124))</f>
        <v/>
      </c>
      <c r="G124" s="19" t="str">
        <f aca="false">IF($B124="","",IFERROR(INDEX(Loans!$E$6:$E$65,MATCH($B124,Loans!$A$6:$A$65,0)),0)-SUMIFS($K$5:$K123,$B$5:$B123,$B124))</f>
        <v/>
      </c>
      <c r="H124" s="19" t="str">
        <f aca="false">IF(OR($B124="",F124=""),"",ROUND(G124*Start!$B$7*F124/Start!$B$8,2))</f>
        <v/>
      </c>
      <c r="I124" s="19" t="str">
        <f aca="false">IF($B124="","",SUMIFS($H$5:$H123,$B$5:$B123,$B124)-SUMIFS($J$5:$J123,$B$5:$B123,$B124))</f>
        <v/>
      </c>
      <c r="J124" s="19" t="str">
        <f aca="false">IF(OR($B124="",H124=""),"",MIN(C124,H124+I124))</f>
        <v/>
      </c>
      <c r="K124" s="18" t="str">
        <f aca="false">IF(OR($B124="",J124=""),"",MAX(0,MIN(C124-J124,G124)))</f>
        <v/>
      </c>
      <c r="L124" s="18" t="str">
        <f aca="false">IF(OR($B124="",K124=""),"",G124-K124)</f>
        <v/>
      </c>
      <c r="M124" s="19" t="str">
        <f aca="false">IF(OR($B124="",J124=""),"",H124+I124-J124)</f>
        <v/>
      </c>
    </row>
    <row r="125" customFormat="false" ht="15" hidden="false" customHeight="false" outlineLevel="0" collapsed="false">
      <c r="A125" s="14"/>
      <c r="B125" s="5"/>
      <c r="C125" s="9"/>
      <c r="D125" s="24" t="str">
        <f aca="false">IF($B125="","",IFERROR(INDEX(Loans!$D$6:$D$65,MATCH($B125,Loans!$A$6:$A$65,0)),""))</f>
        <v/>
      </c>
      <c r="E125" s="24" t="str">
        <f aca="false">IF($B125="","",IF(COUNTIFS($B$5:$B124,$B125)=0,D125,_xlfn.MAXIFS($A$5:$A124,$B$5:$B124,$B125)))</f>
        <v/>
      </c>
      <c r="F125" s="25" t="str">
        <f aca="false">IF(OR($B125="",A125=""),"",MAX(0,A125-E125))</f>
        <v/>
      </c>
      <c r="G125" s="19" t="str">
        <f aca="false">IF($B125="","",IFERROR(INDEX(Loans!$E$6:$E$65,MATCH($B125,Loans!$A$6:$A$65,0)),0)-SUMIFS($K$5:$K124,$B$5:$B124,$B125))</f>
        <v/>
      </c>
      <c r="H125" s="19" t="str">
        <f aca="false">IF(OR($B125="",F125=""),"",ROUND(G125*Start!$B$7*F125/Start!$B$8,2))</f>
        <v/>
      </c>
      <c r="I125" s="19" t="str">
        <f aca="false">IF($B125="","",SUMIFS($H$5:$H124,$B$5:$B124,$B125)-SUMIFS($J$5:$J124,$B$5:$B124,$B125))</f>
        <v/>
      </c>
      <c r="J125" s="19" t="str">
        <f aca="false">IF(OR($B125="",H125=""),"",MIN(C125,H125+I125))</f>
        <v/>
      </c>
      <c r="K125" s="18" t="str">
        <f aca="false">IF(OR($B125="",J125=""),"",MAX(0,MIN(C125-J125,G125)))</f>
        <v/>
      </c>
      <c r="L125" s="18" t="str">
        <f aca="false">IF(OR($B125="",K125=""),"",G125-K125)</f>
        <v/>
      </c>
      <c r="M125" s="19" t="str">
        <f aca="false">IF(OR($B125="",J125=""),"",H125+I125-J125)</f>
        <v/>
      </c>
    </row>
    <row r="126" customFormat="false" ht="15" hidden="false" customHeight="false" outlineLevel="0" collapsed="false">
      <c r="A126" s="14"/>
      <c r="B126" s="5"/>
      <c r="C126" s="9"/>
      <c r="D126" s="24" t="str">
        <f aca="false">IF($B126="","",IFERROR(INDEX(Loans!$D$6:$D$65,MATCH($B126,Loans!$A$6:$A$65,0)),""))</f>
        <v/>
      </c>
      <c r="E126" s="24" t="str">
        <f aca="false">IF($B126="","",IF(COUNTIFS($B$5:$B125,$B126)=0,D126,_xlfn.MAXIFS($A$5:$A125,$B$5:$B125,$B126)))</f>
        <v/>
      </c>
      <c r="F126" s="25" t="str">
        <f aca="false">IF(OR($B126="",A126=""),"",MAX(0,A126-E126))</f>
        <v/>
      </c>
      <c r="G126" s="19" t="str">
        <f aca="false">IF($B126="","",IFERROR(INDEX(Loans!$E$6:$E$65,MATCH($B126,Loans!$A$6:$A$65,0)),0)-SUMIFS($K$5:$K125,$B$5:$B125,$B126))</f>
        <v/>
      </c>
      <c r="H126" s="19" t="str">
        <f aca="false">IF(OR($B126="",F126=""),"",ROUND(G126*Start!$B$7*F126/Start!$B$8,2))</f>
        <v/>
      </c>
      <c r="I126" s="19" t="str">
        <f aca="false">IF($B126="","",SUMIFS($H$5:$H125,$B$5:$B125,$B126)-SUMIFS($J$5:$J125,$B$5:$B125,$B126))</f>
        <v/>
      </c>
      <c r="J126" s="19" t="str">
        <f aca="false">IF(OR($B126="",H126=""),"",MIN(C126,H126+I126))</f>
        <v/>
      </c>
      <c r="K126" s="18" t="str">
        <f aca="false">IF(OR($B126="",J126=""),"",MAX(0,MIN(C126-J126,G126)))</f>
        <v/>
      </c>
      <c r="L126" s="18" t="str">
        <f aca="false">IF(OR($B126="",K126=""),"",G126-K126)</f>
        <v/>
      </c>
      <c r="M126" s="19" t="str">
        <f aca="false">IF(OR($B126="",J126=""),"",H126+I126-J126)</f>
        <v/>
      </c>
    </row>
    <row r="127" customFormat="false" ht="15" hidden="false" customHeight="false" outlineLevel="0" collapsed="false">
      <c r="A127" s="14"/>
      <c r="B127" s="5"/>
      <c r="C127" s="9"/>
      <c r="D127" s="24" t="str">
        <f aca="false">IF($B127="","",IFERROR(INDEX(Loans!$D$6:$D$65,MATCH($B127,Loans!$A$6:$A$65,0)),""))</f>
        <v/>
      </c>
      <c r="E127" s="24" t="str">
        <f aca="false">IF($B127="","",IF(COUNTIFS($B$5:$B126,$B127)=0,D127,_xlfn.MAXIFS($A$5:$A126,$B$5:$B126,$B127)))</f>
        <v/>
      </c>
      <c r="F127" s="25" t="str">
        <f aca="false">IF(OR($B127="",A127=""),"",MAX(0,A127-E127))</f>
        <v/>
      </c>
      <c r="G127" s="19" t="str">
        <f aca="false">IF($B127="","",IFERROR(INDEX(Loans!$E$6:$E$65,MATCH($B127,Loans!$A$6:$A$65,0)),0)-SUMIFS($K$5:$K126,$B$5:$B126,$B127))</f>
        <v/>
      </c>
      <c r="H127" s="19" t="str">
        <f aca="false">IF(OR($B127="",F127=""),"",ROUND(G127*Start!$B$7*F127/Start!$B$8,2))</f>
        <v/>
      </c>
      <c r="I127" s="19" t="str">
        <f aca="false">IF($B127="","",SUMIFS($H$5:$H126,$B$5:$B126,$B127)-SUMIFS($J$5:$J126,$B$5:$B126,$B127))</f>
        <v/>
      </c>
      <c r="J127" s="19" t="str">
        <f aca="false">IF(OR($B127="",H127=""),"",MIN(C127,H127+I127))</f>
        <v/>
      </c>
      <c r="K127" s="18" t="str">
        <f aca="false">IF(OR($B127="",J127=""),"",MAX(0,MIN(C127-J127,G127)))</f>
        <v/>
      </c>
      <c r="L127" s="18" t="str">
        <f aca="false">IF(OR($B127="",K127=""),"",G127-K127)</f>
        <v/>
      </c>
      <c r="M127" s="19" t="str">
        <f aca="false">IF(OR($B127="",J127=""),"",H127+I127-J127)</f>
        <v/>
      </c>
    </row>
    <row r="128" customFormat="false" ht="15" hidden="false" customHeight="false" outlineLevel="0" collapsed="false">
      <c r="A128" s="14"/>
      <c r="B128" s="5"/>
      <c r="C128" s="9"/>
      <c r="D128" s="24" t="str">
        <f aca="false">IF($B128="","",IFERROR(INDEX(Loans!$D$6:$D$65,MATCH($B128,Loans!$A$6:$A$65,0)),""))</f>
        <v/>
      </c>
      <c r="E128" s="24" t="str">
        <f aca="false">IF($B128="","",IF(COUNTIFS($B$5:$B127,$B128)=0,D128,_xlfn.MAXIFS($A$5:$A127,$B$5:$B127,$B128)))</f>
        <v/>
      </c>
      <c r="F128" s="25" t="str">
        <f aca="false">IF(OR($B128="",A128=""),"",MAX(0,A128-E128))</f>
        <v/>
      </c>
      <c r="G128" s="19" t="str">
        <f aca="false">IF($B128="","",IFERROR(INDEX(Loans!$E$6:$E$65,MATCH($B128,Loans!$A$6:$A$65,0)),0)-SUMIFS($K$5:$K127,$B$5:$B127,$B128))</f>
        <v/>
      </c>
      <c r="H128" s="19" t="str">
        <f aca="false">IF(OR($B128="",F128=""),"",ROUND(G128*Start!$B$7*F128/Start!$B$8,2))</f>
        <v/>
      </c>
      <c r="I128" s="19" t="str">
        <f aca="false">IF($B128="","",SUMIFS($H$5:$H127,$B$5:$B127,$B128)-SUMIFS($J$5:$J127,$B$5:$B127,$B128))</f>
        <v/>
      </c>
      <c r="J128" s="19" t="str">
        <f aca="false">IF(OR($B128="",H128=""),"",MIN(C128,H128+I128))</f>
        <v/>
      </c>
      <c r="K128" s="18" t="str">
        <f aca="false">IF(OR($B128="",J128=""),"",MAX(0,MIN(C128-J128,G128)))</f>
        <v/>
      </c>
      <c r="L128" s="18" t="str">
        <f aca="false">IF(OR($B128="",K128=""),"",G128-K128)</f>
        <v/>
      </c>
      <c r="M128" s="19" t="str">
        <f aca="false">IF(OR($B128="",J128=""),"",H128+I128-J128)</f>
        <v/>
      </c>
    </row>
    <row r="129" customFormat="false" ht="15" hidden="false" customHeight="false" outlineLevel="0" collapsed="false">
      <c r="A129" s="14"/>
      <c r="B129" s="5"/>
      <c r="C129" s="9"/>
      <c r="D129" s="24" t="str">
        <f aca="false">IF($B129="","",IFERROR(INDEX(Loans!$D$6:$D$65,MATCH($B129,Loans!$A$6:$A$65,0)),""))</f>
        <v/>
      </c>
      <c r="E129" s="24" t="str">
        <f aca="false">IF($B129="","",IF(COUNTIFS($B$5:$B128,$B129)=0,D129,_xlfn.MAXIFS($A$5:$A128,$B$5:$B128,$B129)))</f>
        <v/>
      </c>
      <c r="F129" s="25" t="str">
        <f aca="false">IF(OR($B129="",A129=""),"",MAX(0,A129-E129))</f>
        <v/>
      </c>
      <c r="G129" s="19" t="str">
        <f aca="false">IF($B129="","",IFERROR(INDEX(Loans!$E$6:$E$65,MATCH($B129,Loans!$A$6:$A$65,0)),0)-SUMIFS($K$5:$K128,$B$5:$B128,$B129))</f>
        <v/>
      </c>
      <c r="H129" s="19" t="str">
        <f aca="false">IF(OR($B129="",F129=""),"",ROUND(G129*Start!$B$7*F129/Start!$B$8,2))</f>
        <v/>
      </c>
      <c r="I129" s="19" t="str">
        <f aca="false">IF($B129="","",SUMIFS($H$5:$H128,$B$5:$B128,$B129)-SUMIFS($J$5:$J128,$B$5:$B128,$B129))</f>
        <v/>
      </c>
      <c r="J129" s="19" t="str">
        <f aca="false">IF(OR($B129="",H129=""),"",MIN(C129,H129+I129))</f>
        <v/>
      </c>
      <c r="K129" s="18" t="str">
        <f aca="false">IF(OR($B129="",J129=""),"",MAX(0,MIN(C129-J129,G129)))</f>
        <v/>
      </c>
      <c r="L129" s="18" t="str">
        <f aca="false">IF(OR($B129="",K129=""),"",G129-K129)</f>
        <v/>
      </c>
      <c r="M129" s="19" t="str">
        <f aca="false">IF(OR($B129="",J129=""),"",H129+I129-J129)</f>
        <v/>
      </c>
    </row>
    <row r="130" customFormat="false" ht="15" hidden="false" customHeight="false" outlineLevel="0" collapsed="false">
      <c r="A130" s="14"/>
      <c r="B130" s="5"/>
      <c r="C130" s="9"/>
      <c r="D130" s="24" t="str">
        <f aca="false">IF($B130="","",IFERROR(INDEX(Loans!$D$6:$D$65,MATCH($B130,Loans!$A$6:$A$65,0)),""))</f>
        <v/>
      </c>
      <c r="E130" s="24" t="str">
        <f aca="false">IF($B130="","",IF(COUNTIFS($B$5:$B129,$B130)=0,D130,_xlfn.MAXIFS($A$5:$A129,$B$5:$B129,$B130)))</f>
        <v/>
      </c>
      <c r="F130" s="25" t="str">
        <f aca="false">IF(OR($B130="",A130=""),"",MAX(0,A130-E130))</f>
        <v/>
      </c>
      <c r="G130" s="19" t="str">
        <f aca="false">IF($B130="","",IFERROR(INDEX(Loans!$E$6:$E$65,MATCH($B130,Loans!$A$6:$A$65,0)),0)-SUMIFS($K$5:$K129,$B$5:$B129,$B130))</f>
        <v/>
      </c>
      <c r="H130" s="19" t="str">
        <f aca="false">IF(OR($B130="",F130=""),"",ROUND(G130*Start!$B$7*F130/Start!$B$8,2))</f>
        <v/>
      </c>
      <c r="I130" s="19" t="str">
        <f aca="false">IF($B130="","",SUMIFS($H$5:$H129,$B$5:$B129,$B130)-SUMIFS($J$5:$J129,$B$5:$B129,$B130))</f>
        <v/>
      </c>
      <c r="J130" s="19" t="str">
        <f aca="false">IF(OR($B130="",H130=""),"",MIN(C130,H130+I130))</f>
        <v/>
      </c>
      <c r="K130" s="18" t="str">
        <f aca="false">IF(OR($B130="",J130=""),"",MAX(0,MIN(C130-J130,G130)))</f>
        <v/>
      </c>
      <c r="L130" s="18" t="str">
        <f aca="false">IF(OR($B130="",K130=""),"",G130-K130)</f>
        <v/>
      </c>
      <c r="M130" s="19" t="str">
        <f aca="false">IF(OR($B130="",J130=""),"",H130+I130-J130)</f>
        <v/>
      </c>
    </row>
    <row r="131" customFormat="false" ht="15" hidden="false" customHeight="false" outlineLevel="0" collapsed="false">
      <c r="A131" s="14"/>
      <c r="B131" s="5"/>
      <c r="C131" s="9"/>
      <c r="D131" s="24" t="str">
        <f aca="false">IF($B131="","",IFERROR(INDEX(Loans!$D$6:$D$65,MATCH($B131,Loans!$A$6:$A$65,0)),""))</f>
        <v/>
      </c>
      <c r="E131" s="24" t="str">
        <f aca="false">IF($B131="","",IF(COUNTIFS($B$5:$B130,$B131)=0,D131,_xlfn.MAXIFS($A$5:$A130,$B$5:$B130,$B131)))</f>
        <v/>
      </c>
      <c r="F131" s="25" t="str">
        <f aca="false">IF(OR($B131="",A131=""),"",MAX(0,A131-E131))</f>
        <v/>
      </c>
      <c r="G131" s="19" t="str">
        <f aca="false">IF($B131="","",IFERROR(INDEX(Loans!$E$6:$E$65,MATCH($B131,Loans!$A$6:$A$65,0)),0)-SUMIFS($K$5:$K130,$B$5:$B130,$B131))</f>
        <v/>
      </c>
      <c r="H131" s="19" t="str">
        <f aca="false">IF(OR($B131="",F131=""),"",ROUND(G131*Start!$B$7*F131/Start!$B$8,2))</f>
        <v/>
      </c>
      <c r="I131" s="19" t="str">
        <f aca="false">IF($B131="","",SUMIFS($H$5:$H130,$B$5:$B130,$B131)-SUMIFS($J$5:$J130,$B$5:$B130,$B131))</f>
        <v/>
      </c>
      <c r="J131" s="19" t="str">
        <f aca="false">IF(OR($B131="",H131=""),"",MIN(C131,H131+I131))</f>
        <v/>
      </c>
      <c r="K131" s="18" t="str">
        <f aca="false">IF(OR($B131="",J131=""),"",MAX(0,MIN(C131-J131,G131)))</f>
        <v/>
      </c>
      <c r="L131" s="18" t="str">
        <f aca="false">IF(OR($B131="",K131=""),"",G131-K131)</f>
        <v/>
      </c>
      <c r="M131" s="19" t="str">
        <f aca="false">IF(OR($B131="",J131=""),"",H131+I131-J131)</f>
        <v/>
      </c>
    </row>
    <row r="132" customFormat="false" ht="15" hidden="false" customHeight="false" outlineLevel="0" collapsed="false">
      <c r="A132" s="14"/>
      <c r="B132" s="5"/>
      <c r="C132" s="9"/>
      <c r="D132" s="24" t="str">
        <f aca="false">IF($B132="","",IFERROR(INDEX(Loans!$D$6:$D$65,MATCH($B132,Loans!$A$6:$A$65,0)),""))</f>
        <v/>
      </c>
      <c r="E132" s="24" t="str">
        <f aca="false">IF($B132="","",IF(COUNTIFS($B$5:$B131,$B132)=0,D132,_xlfn.MAXIFS($A$5:$A131,$B$5:$B131,$B132)))</f>
        <v/>
      </c>
      <c r="F132" s="25" t="str">
        <f aca="false">IF(OR($B132="",A132=""),"",MAX(0,A132-E132))</f>
        <v/>
      </c>
      <c r="G132" s="19" t="str">
        <f aca="false">IF($B132="","",IFERROR(INDEX(Loans!$E$6:$E$65,MATCH($B132,Loans!$A$6:$A$65,0)),0)-SUMIFS($K$5:$K131,$B$5:$B131,$B132))</f>
        <v/>
      </c>
      <c r="H132" s="19" t="str">
        <f aca="false">IF(OR($B132="",F132=""),"",ROUND(G132*Start!$B$7*F132/Start!$B$8,2))</f>
        <v/>
      </c>
      <c r="I132" s="19" t="str">
        <f aca="false">IF($B132="","",SUMIFS($H$5:$H131,$B$5:$B131,$B132)-SUMIFS($J$5:$J131,$B$5:$B131,$B132))</f>
        <v/>
      </c>
      <c r="J132" s="19" t="str">
        <f aca="false">IF(OR($B132="",H132=""),"",MIN(C132,H132+I132))</f>
        <v/>
      </c>
      <c r="K132" s="18" t="str">
        <f aca="false">IF(OR($B132="",J132=""),"",MAX(0,MIN(C132-J132,G132)))</f>
        <v/>
      </c>
      <c r="L132" s="18" t="str">
        <f aca="false">IF(OR($B132="",K132=""),"",G132-K132)</f>
        <v/>
      </c>
      <c r="M132" s="19" t="str">
        <f aca="false">IF(OR($B132="",J132=""),"",H132+I132-J132)</f>
        <v/>
      </c>
    </row>
    <row r="133" customFormat="false" ht="15" hidden="false" customHeight="false" outlineLevel="0" collapsed="false">
      <c r="A133" s="14"/>
      <c r="B133" s="5"/>
      <c r="C133" s="9"/>
      <c r="D133" s="24" t="str">
        <f aca="false">IF($B133="","",IFERROR(INDEX(Loans!$D$6:$D$65,MATCH($B133,Loans!$A$6:$A$65,0)),""))</f>
        <v/>
      </c>
      <c r="E133" s="24" t="str">
        <f aca="false">IF($B133="","",IF(COUNTIFS($B$5:$B132,$B133)=0,D133,_xlfn.MAXIFS($A$5:$A132,$B$5:$B132,$B133)))</f>
        <v/>
      </c>
      <c r="F133" s="25" t="str">
        <f aca="false">IF(OR($B133="",A133=""),"",MAX(0,A133-E133))</f>
        <v/>
      </c>
      <c r="G133" s="19" t="str">
        <f aca="false">IF($B133="","",IFERROR(INDEX(Loans!$E$6:$E$65,MATCH($B133,Loans!$A$6:$A$65,0)),0)-SUMIFS($K$5:$K132,$B$5:$B132,$B133))</f>
        <v/>
      </c>
      <c r="H133" s="19" t="str">
        <f aca="false">IF(OR($B133="",F133=""),"",ROUND(G133*Start!$B$7*F133/Start!$B$8,2))</f>
        <v/>
      </c>
      <c r="I133" s="19" t="str">
        <f aca="false">IF($B133="","",SUMIFS($H$5:$H132,$B$5:$B132,$B133)-SUMIFS($J$5:$J132,$B$5:$B132,$B133))</f>
        <v/>
      </c>
      <c r="J133" s="19" t="str">
        <f aca="false">IF(OR($B133="",H133=""),"",MIN(C133,H133+I133))</f>
        <v/>
      </c>
      <c r="K133" s="18" t="str">
        <f aca="false">IF(OR($B133="",J133=""),"",MAX(0,MIN(C133-J133,G133)))</f>
        <v/>
      </c>
      <c r="L133" s="18" t="str">
        <f aca="false">IF(OR($B133="",K133=""),"",G133-K133)</f>
        <v/>
      </c>
      <c r="M133" s="19" t="str">
        <f aca="false">IF(OR($B133="",J133=""),"",H133+I133-J133)</f>
        <v/>
      </c>
    </row>
    <row r="134" customFormat="false" ht="15" hidden="false" customHeight="false" outlineLevel="0" collapsed="false">
      <c r="A134" s="14"/>
      <c r="B134" s="5"/>
      <c r="C134" s="9"/>
      <c r="D134" s="24" t="str">
        <f aca="false">IF($B134="","",IFERROR(INDEX(Loans!$D$6:$D$65,MATCH($B134,Loans!$A$6:$A$65,0)),""))</f>
        <v/>
      </c>
      <c r="E134" s="24" t="str">
        <f aca="false">IF($B134="","",IF(COUNTIFS($B$5:$B133,$B134)=0,D134,_xlfn.MAXIFS($A$5:$A133,$B$5:$B133,$B134)))</f>
        <v/>
      </c>
      <c r="F134" s="25" t="str">
        <f aca="false">IF(OR($B134="",A134=""),"",MAX(0,A134-E134))</f>
        <v/>
      </c>
      <c r="G134" s="19" t="str">
        <f aca="false">IF($B134="","",IFERROR(INDEX(Loans!$E$6:$E$65,MATCH($B134,Loans!$A$6:$A$65,0)),0)-SUMIFS($K$5:$K133,$B$5:$B133,$B134))</f>
        <v/>
      </c>
      <c r="H134" s="19" t="str">
        <f aca="false">IF(OR($B134="",F134=""),"",ROUND(G134*Start!$B$7*F134/Start!$B$8,2))</f>
        <v/>
      </c>
      <c r="I134" s="19" t="str">
        <f aca="false">IF($B134="","",SUMIFS($H$5:$H133,$B$5:$B133,$B134)-SUMIFS($J$5:$J133,$B$5:$B133,$B134))</f>
        <v/>
      </c>
      <c r="J134" s="19" t="str">
        <f aca="false">IF(OR($B134="",H134=""),"",MIN(C134,H134+I134))</f>
        <v/>
      </c>
      <c r="K134" s="18" t="str">
        <f aca="false">IF(OR($B134="",J134=""),"",MAX(0,MIN(C134-J134,G134)))</f>
        <v/>
      </c>
      <c r="L134" s="18" t="str">
        <f aca="false">IF(OR($B134="",K134=""),"",G134-K134)</f>
        <v/>
      </c>
      <c r="M134" s="19" t="str">
        <f aca="false">IF(OR($B134="",J134=""),"",H134+I134-J134)</f>
        <v/>
      </c>
    </row>
    <row r="135" customFormat="false" ht="15" hidden="false" customHeight="false" outlineLevel="0" collapsed="false">
      <c r="A135" s="14"/>
      <c r="B135" s="5"/>
      <c r="C135" s="9"/>
      <c r="D135" s="24" t="str">
        <f aca="false">IF($B135="","",IFERROR(INDEX(Loans!$D$6:$D$65,MATCH($B135,Loans!$A$6:$A$65,0)),""))</f>
        <v/>
      </c>
      <c r="E135" s="24" t="str">
        <f aca="false">IF($B135="","",IF(COUNTIFS($B$5:$B134,$B135)=0,D135,_xlfn.MAXIFS($A$5:$A134,$B$5:$B134,$B135)))</f>
        <v/>
      </c>
      <c r="F135" s="25" t="str">
        <f aca="false">IF(OR($B135="",A135=""),"",MAX(0,A135-E135))</f>
        <v/>
      </c>
      <c r="G135" s="19" t="str">
        <f aca="false">IF($B135="","",IFERROR(INDEX(Loans!$E$6:$E$65,MATCH($B135,Loans!$A$6:$A$65,0)),0)-SUMIFS($K$5:$K134,$B$5:$B134,$B135))</f>
        <v/>
      </c>
      <c r="H135" s="19" t="str">
        <f aca="false">IF(OR($B135="",F135=""),"",ROUND(G135*Start!$B$7*F135/Start!$B$8,2))</f>
        <v/>
      </c>
      <c r="I135" s="19" t="str">
        <f aca="false">IF($B135="","",SUMIFS($H$5:$H134,$B$5:$B134,$B135)-SUMIFS($J$5:$J134,$B$5:$B134,$B135))</f>
        <v/>
      </c>
      <c r="J135" s="19" t="str">
        <f aca="false">IF(OR($B135="",H135=""),"",MIN(C135,H135+I135))</f>
        <v/>
      </c>
      <c r="K135" s="18" t="str">
        <f aca="false">IF(OR($B135="",J135=""),"",MAX(0,MIN(C135-J135,G135)))</f>
        <v/>
      </c>
      <c r="L135" s="18" t="str">
        <f aca="false">IF(OR($B135="",K135=""),"",G135-K135)</f>
        <v/>
      </c>
      <c r="M135" s="19" t="str">
        <f aca="false">IF(OR($B135="",J135=""),"",H135+I135-J135)</f>
        <v/>
      </c>
    </row>
    <row r="136" customFormat="false" ht="15" hidden="false" customHeight="false" outlineLevel="0" collapsed="false">
      <c r="A136" s="14"/>
      <c r="B136" s="5"/>
      <c r="C136" s="9"/>
      <c r="D136" s="24" t="str">
        <f aca="false">IF($B136="","",IFERROR(INDEX(Loans!$D$6:$D$65,MATCH($B136,Loans!$A$6:$A$65,0)),""))</f>
        <v/>
      </c>
      <c r="E136" s="24" t="str">
        <f aca="false">IF($B136="","",IF(COUNTIFS($B$5:$B135,$B136)=0,D136,_xlfn.MAXIFS($A$5:$A135,$B$5:$B135,$B136)))</f>
        <v/>
      </c>
      <c r="F136" s="25" t="str">
        <f aca="false">IF(OR($B136="",A136=""),"",MAX(0,A136-E136))</f>
        <v/>
      </c>
      <c r="G136" s="19" t="str">
        <f aca="false">IF($B136="","",IFERROR(INDEX(Loans!$E$6:$E$65,MATCH($B136,Loans!$A$6:$A$65,0)),0)-SUMIFS($K$5:$K135,$B$5:$B135,$B136))</f>
        <v/>
      </c>
      <c r="H136" s="19" t="str">
        <f aca="false">IF(OR($B136="",F136=""),"",ROUND(G136*Start!$B$7*F136/Start!$B$8,2))</f>
        <v/>
      </c>
      <c r="I136" s="19" t="str">
        <f aca="false">IF($B136="","",SUMIFS($H$5:$H135,$B$5:$B135,$B136)-SUMIFS($J$5:$J135,$B$5:$B135,$B136))</f>
        <v/>
      </c>
      <c r="J136" s="19" t="str">
        <f aca="false">IF(OR($B136="",H136=""),"",MIN(C136,H136+I136))</f>
        <v/>
      </c>
      <c r="K136" s="18" t="str">
        <f aca="false">IF(OR($B136="",J136=""),"",MAX(0,MIN(C136-J136,G136)))</f>
        <v/>
      </c>
      <c r="L136" s="18" t="str">
        <f aca="false">IF(OR($B136="",K136=""),"",G136-K136)</f>
        <v/>
      </c>
      <c r="M136" s="19" t="str">
        <f aca="false">IF(OR($B136="",J136=""),"",H136+I136-J136)</f>
        <v/>
      </c>
    </row>
    <row r="137" customFormat="false" ht="15" hidden="false" customHeight="false" outlineLevel="0" collapsed="false">
      <c r="A137" s="14"/>
      <c r="B137" s="5"/>
      <c r="C137" s="9"/>
      <c r="D137" s="24" t="str">
        <f aca="false">IF($B137="","",IFERROR(INDEX(Loans!$D$6:$D$65,MATCH($B137,Loans!$A$6:$A$65,0)),""))</f>
        <v/>
      </c>
      <c r="E137" s="24" t="str">
        <f aca="false">IF($B137="","",IF(COUNTIFS($B$5:$B136,$B137)=0,D137,_xlfn.MAXIFS($A$5:$A136,$B$5:$B136,$B137)))</f>
        <v/>
      </c>
      <c r="F137" s="25" t="str">
        <f aca="false">IF(OR($B137="",A137=""),"",MAX(0,A137-E137))</f>
        <v/>
      </c>
      <c r="G137" s="19" t="str">
        <f aca="false">IF($B137="","",IFERROR(INDEX(Loans!$E$6:$E$65,MATCH($B137,Loans!$A$6:$A$65,0)),0)-SUMIFS($K$5:$K136,$B$5:$B136,$B137))</f>
        <v/>
      </c>
      <c r="H137" s="19" t="str">
        <f aca="false">IF(OR($B137="",F137=""),"",ROUND(G137*Start!$B$7*F137/Start!$B$8,2))</f>
        <v/>
      </c>
      <c r="I137" s="19" t="str">
        <f aca="false">IF($B137="","",SUMIFS($H$5:$H136,$B$5:$B136,$B137)-SUMIFS($J$5:$J136,$B$5:$B136,$B137))</f>
        <v/>
      </c>
      <c r="J137" s="19" t="str">
        <f aca="false">IF(OR($B137="",H137=""),"",MIN(C137,H137+I137))</f>
        <v/>
      </c>
      <c r="K137" s="18" t="str">
        <f aca="false">IF(OR($B137="",J137=""),"",MAX(0,MIN(C137-J137,G137)))</f>
        <v/>
      </c>
      <c r="L137" s="18" t="str">
        <f aca="false">IF(OR($B137="",K137=""),"",G137-K137)</f>
        <v/>
      </c>
      <c r="M137" s="19" t="str">
        <f aca="false">IF(OR($B137="",J137=""),"",H137+I137-J137)</f>
        <v/>
      </c>
    </row>
    <row r="138" customFormat="false" ht="15" hidden="false" customHeight="false" outlineLevel="0" collapsed="false">
      <c r="A138" s="14"/>
      <c r="B138" s="5"/>
      <c r="C138" s="9"/>
      <c r="D138" s="24" t="str">
        <f aca="false">IF($B138="","",IFERROR(INDEX(Loans!$D$6:$D$65,MATCH($B138,Loans!$A$6:$A$65,0)),""))</f>
        <v/>
      </c>
      <c r="E138" s="24" t="str">
        <f aca="false">IF($B138="","",IF(COUNTIFS($B$5:$B137,$B138)=0,D138,_xlfn.MAXIFS($A$5:$A137,$B$5:$B137,$B138)))</f>
        <v/>
      </c>
      <c r="F138" s="25" t="str">
        <f aca="false">IF(OR($B138="",A138=""),"",MAX(0,A138-E138))</f>
        <v/>
      </c>
      <c r="G138" s="19" t="str">
        <f aca="false">IF($B138="","",IFERROR(INDEX(Loans!$E$6:$E$65,MATCH($B138,Loans!$A$6:$A$65,0)),0)-SUMIFS($K$5:$K137,$B$5:$B137,$B138))</f>
        <v/>
      </c>
      <c r="H138" s="19" t="str">
        <f aca="false">IF(OR($B138="",F138=""),"",ROUND(G138*Start!$B$7*F138/Start!$B$8,2))</f>
        <v/>
      </c>
      <c r="I138" s="19" t="str">
        <f aca="false">IF($B138="","",SUMIFS($H$5:$H137,$B$5:$B137,$B138)-SUMIFS($J$5:$J137,$B$5:$B137,$B138))</f>
        <v/>
      </c>
      <c r="J138" s="19" t="str">
        <f aca="false">IF(OR($B138="",H138=""),"",MIN(C138,H138+I138))</f>
        <v/>
      </c>
      <c r="K138" s="18" t="str">
        <f aca="false">IF(OR($B138="",J138=""),"",MAX(0,MIN(C138-J138,G138)))</f>
        <v/>
      </c>
      <c r="L138" s="18" t="str">
        <f aca="false">IF(OR($B138="",K138=""),"",G138-K138)</f>
        <v/>
      </c>
      <c r="M138" s="19" t="str">
        <f aca="false">IF(OR($B138="",J138=""),"",H138+I138-J138)</f>
        <v/>
      </c>
    </row>
    <row r="139" customFormat="false" ht="15" hidden="false" customHeight="false" outlineLevel="0" collapsed="false">
      <c r="A139" s="14"/>
      <c r="B139" s="5"/>
      <c r="C139" s="9"/>
      <c r="D139" s="24" t="str">
        <f aca="false">IF($B139="","",IFERROR(INDEX(Loans!$D$6:$D$65,MATCH($B139,Loans!$A$6:$A$65,0)),""))</f>
        <v/>
      </c>
      <c r="E139" s="24" t="str">
        <f aca="false">IF($B139="","",IF(COUNTIFS($B$5:$B138,$B139)=0,D139,_xlfn.MAXIFS($A$5:$A138,$B$5:$B138,$B139)))</f>
        <v/>
      </c>
      <c r="F139" s="25" t="str">
        <f aca="false">IF(OR($B139="",A139=""),"",MAX(0,A139-E139))</f>
        <v/>
      </c>
      <c r="G139" s="19" t="str">
        <f aca="false">IF($B139="","",IFERROR(INDEX(Loans!$E$6:$E$65,MATCH($B139,Loans!$A$6:$A$65,0)),0)-SUMIFS($K$5:$K138,$B$5:$B138,$B139))</f>
        <v/>
      </c>
      <c r="H139" s="19" t="str">
        <f aca="false">IF(OR($B139="",F139=""),"",ROUND(G139*Start!$B$7*F139/Start!$B$8,2))</f>
        <v/>
      </c>
      <c r="I139" s="19" t="str">
        <f aca="false">IF($B139="","",SUMIFS($H$5:$H138,$B$5:$B138,$B139)-SUMIFS($J$5:$J138,$B$5:$B138,$B139))</f>
        <v/>
      </c>
      <c r="J139" s="19" t="str">
        <f aca="false">IF(OR($B139="",H139=""),"",MIN(C139,H139+I139))</f>
        <v/>
      </c>
      <c r="K139" s="18" t="str">
        <f aca="false">IF(OR($B139="",J139=""),"",MAX(0,MIN(C139-J139,G139)))</f>
        <v/>
      </c>
      <c r="L139" s="18" t="str">
        <f aca="false">IF(OR($B139="",K139=""),"",G139-K139)</f>
        <v/>
      </c>
      <c r="M139" s="19" t="str">
        <f aca="false">IF(OR($B139="",J139=""),"",H139+I139-J139)</f>
        <v/>
      </c>
    </row>
    <row r="140" customFormat="false" ht="15" hidden="false" customHeight="false" outlineLevel="0" collapsed="false">
      <c r="A140" s="14"/>
      <c r="B140" s="5"/>
      <c r="C140" s="9"/>
      <c r="D140" s="24" t="str">
        <f aca="false">IF($B140="","",IFERROR(INDEX(Loans!$D$6:$D$65,MATCH($B140,Loans!$A$6:$A$65,0)),""))</f>
        <v/>
      </c>
      <c r="E140" s="24" t="str">
        <f aca="false">IF($B140="","",IF(COUNTIFS($B$5:$B139,$B140)=0,D140,_xlfn.MAXIFS($A$5:$A139,$B$5:$B139,$B140)))</f>
        <v/>
      </c>
      <c r="F140" s="25" t="str">
        <f aca="false">IF(OR($B140="",A140=""),"",MAX(0,A140-E140))</f>
        <v/>
      </c>
      <c r="G140" s="19" t="str">
        <f aca="false">IF($B140="","",IFERROR(INDEX(Loans!$E$6:$E$65,MATCH($B140,Loans!$A$6:$A$65,0)),0)-SUMIFS($K$5:$K139,$B$5:$B139,$B140))</f>
        <v/>
      </c>
      <c r="H140" s="19" t="str">
        <f aca="false">IF(OR($B140="",F140=""),"",ROUND(G140*Start!$B$7*F140/Start!$B$8,2))</f>
        <v/>
      </c>
      <c r="I140" s="19" t="str">
        <f aca="false">IF($B140="","",SUMIFS($H$5:$H139,$B$5:$B139,$B140)-SUMIFS($J$5:$J139,$B$5:$B139,$B140))</f>
        <v/>
      </c>
      <c r="J140" s="19" t="str">
        <f aca="false">IF(OR($B140="",H140=""),"",MIN(C140,H140+I140))</f>
        <v/>
      </c>
      <c r="K140" s="18" t="str">
        <f aca="false">IF(OR($B140="",J140=""),"",MAX(0,MIN(C140-J140,G140)))</f>
        <v/>
      </c>
      <c r="L140" s="18" t="str">
        <f aca="false">IF(OR($B140="",K140=""),"",G140-K140)</f>
        <v/>
      </c>
      <c r="M140" s="19" t="str">
        <f aca="false">IF(OR($B140="",J140=""),"",H140+I140-J140)</f>
        <v/>
      </c>
    </row>
    <row r="141" customFormat="false" ht="15" hidden="false" customHeight="false" outlineLevel="0" collapsed="false">
      <c r="A141" s="14"/>
      <c r="B141" s="5"/>
      <c r="C141" s="9"/>
      <c r="D141" s="24" t="str">
        <f aca="false">IF($B141="","",IFERROR(INDEX(Loans!$D$6:$D$65,MATCH($B141,Loans!$A$6:$A$65,0)),""))</f>
        <v/>
      </c>
      <c r="E141" s="24" t="str">
        <f aca="false">IF($B141="","",IF(COUNTIFS($B$5:$B140,$B141)=0,D141,_xlfn.MAXIFS($A$5:$A140,$B$5:$B140,$B141)))</f>
        <v/>
      </c>
      <c r="F141" s="25" t="str">
        <f aca="false">IF(OR($B141="",A141=""),"",MAX(0,A141-E141))</f>
        <v/>
      </c>
      <c r="G141" s="19" t="str">
        <f aca="false">IF($B141="","",IFERROR(INDEX(Loans!$E$6:$E$65,MATCH($B141,Loans!$A$6:$A$65,0)),0)-SUMIFS($K$5:$K140,$B$5:$B140,$B141))</f>
        <v/>
      </c>
      <c r="H141" s="19" t="str">
        <f aca="false">IF(OR($B141="",F141=""),"",ROUND(G141*Start!$B$7*F141/Start!$B$8,2))</f>
        <v/>
      </c>
      <c r="I141" s="19" t="str">
        <f aca="false">IF($B141="","",SUMIFS($H$5:$H140,$B$5:$B140,$B141)-SUMIFS($J$5:$J140,$B$5:$B140,$B141))</f>
        <v/>
      </c>
      <c r="J141" s="19" t="str">
        <f aca="false">IF(OR($B141="",H141=""),"",MIN(C141,H141+I141))</f>
        <v/>
      </c>
      <c r="K141" s="18" t="str">
        <f aca="false">IF(OR($B141="",J141=""),"",MAX(0,MIN(C141-J141,G141)))</f>
        <v/>
      </c>
      <c r="L141" s="18" t="str">
        <f aca="false">IF(OR($B141="",K141=""),"",G141-K141)</f>
        <v/>
      </c>
      <c r="M141" s="19" t="str">
        <f aca="false">IF(OR($B141="",J141=""),"",H141+I141-J141)</f>
        <v/>
      </c>
    </row>
    <row r="142" customFormat="false" ht="15" hidden="false" customHeight="false" outlineLevel="0" collapsed="false">
      <c r="A142" s="14"/>
      <c r="B142" s="5"/>
      <c r="C142" s="9"/>
      <c r="D142" s="24" t="str">
        <f aca="false">IF($B142="","",IFERROR(INDEX(Loans!$D$6:$D$65,MATCH($B142,Loans!$A$6:$A$65,0)),""))</f>
        <v/>
      </c>
      <c r="E142" s="24" t="str">
        <f aca="false">IF($B142="","",IF(COUNTIFS($B$5:$B141,$B142)=0,D142,_xlfn.MAXIFS($A$5:$A141,$B$5:$B141,$B142)))</f>
        <v/>
      </c>
      <c r="F142" s="25" t="str">
        <f aca="false">IF(OR($B142="",A142=""),"",MAX(0,A142-E142))</f>
        <v/>
      </c>
      <c r="G142" s="19" t="str">
        <f aca="false">IF($B142="","",IFERROR(INDEX(Loans!$E$6:$E$65,MATCH($B142,Loans!$A$6:$A$65,0)),0)-SUMIFS($K$5:$K141,$B$5:$B141,$B142))</f>
        <v/>
      </c>
      <c r="H142" s="19" t="str">
        <f aca="false">IF(OR($B142="",F142=""),"",ROUND(G142*Start!$B$7*F142/Start!$B$8,2))</f>
        <v/>
      </c>
      <c r="I142" s="19" t="str">
        <f aca="false">IF($B142="","",SUMIFS($H$5:$H141,$B$5:$B141,$B142)-SUMIFS($J$5:$J141,$B$5:$B141,$B142))</f>
        <v/>
      </c>
      <c r="J142" s="19" t="str">
        <f aca="false">IF(OR($B142="",H142=""),"",MIN(C142,H142+I142))</f>
        <v/>
      </c>
      <c r="K142" s="18" t="str">
        <f aca="false">IF(OR($B142="",J142=""),"",MAX(0,MIN(C142-J142,G142)))</f>
        <v/>
      </c>
      <c r="L142" s="18" t="str">
        <f aca="false">IF(OR($B142="",K142=""),"",G142-K142)</f>
        <v/>
      </c>
      <c r="M142" s="19" t="str">
        <f aca="false">IF(OR($B142="",J142=""),"",H142+I142-J142)</f>
        <v/>
      </c>
    </row>
    <row r="143" customFormat="false" ht="15" hidden="false" customHeight="false" outlineLevel="0" collapsed="false">
      <c r="A143" s="14"/>
      <c r="B143" s="5"/>
      <c r="C143" s="9"/>
      <c r="D143" s="24" t="str">
        <f aca="false">IF($B143="","",IFERROR(INDEX(Loans!$D$6:$D$65,MATCH($B143,Loans!$A$6:$A$65,0)),""))</f>
        <v/>
      </c>
      <c r="E143" s="24" t="str">
        <f aca="false">IF($B143="","",IF(COUNTIFS($B$5:$B142,$B143)=0,D143,_xlfn.MAXIFS($A$5:$A142,$B$5:$B142,$B143)))</f>
        <v/>
      </c>
      <c r="F143" s="25" t="str">
        <f aca="false">IF(OR($B143="",A143=""),"",MAX(0,A143-E143))</f>
        <v/>
      </c>
      <c r="G143" s="19" t="str">
        <f aca="false">IF($B143="","",IFERROR(INDEX(Loans!$E$6:$E$65,MATCH($B143,Loans!$A$6:$A$65,0)),0)-SUMIFS($K$5:$K142,$B$5:$B142,$B143))</f>
        <v/>
      </c>
      <c r="H143" s="19" t="str">
        <f aca="false">IF(OR($B143="",F143=""),"",ROUND(G143*Start!$B$7*F143/Start!$B$8,2))</f>
        <v/>
      </c>
      <c r="I143" s="19" t="str">
        <f aca="false">IF($B143="","",SUMIFS($H$5:$H142,$B$5:$B142,$B143)-SUMIFS($J$5:$J142,$B$5:$B142,$B143))</f>
        <v/>
      </c>
      <c r="J143" s="19" t="str">
        <f aca="false">IF(OR($B143="",H143=""),"",MIN(C143,H143+I143))</f>
        <v/>
      </c>
      <c r="K143" s="18" t="str">
        <f aca="false">IF(OR($B143="",J143=""),"",MAX(0,MIN(C143-J143,G143)))</f>
        <v/>
      </c>
      <c r="L143" s="18" t="str">
        <f aca="false">IF(OR($B143="",K143=""),"",G143-K143)</f>
        <v/>
      </c>
      <c r="M143" s="19" t="str">
        <f aca="false">IF(OR($B143="",J143=""),"",H143+I143-J143)</f>
        <v/>
      </c>
    </row>
    <row r="144" customFormat="false" ht="15" hidden="false" customHeight="false" outlineLevel="0" collapsed="false">
      <c r="A144" s="14"/>
      <c r="B144" s="5"/>
      <c r="C144" s="9"/>
      <c r="D144" s="24" t="str">
        <f aca="false">IF($B144="","",IFERROR(INDEX(Loans!$D$6:$D$65,MATCH($B144,Loans!$A$6:$A$65,0)),""))</f>
        <v/>
      </c>
      <c r="E144" s="24" t="str">
        <f aca="false">IF($B144="","",IF(COUNTIFS($B$5:$B143,$B144)=0,D144,_xlfn.MAXIFS($A$5:$A143,$B$5:$B143,$B144)))</f>
        <v/>
      </c>
      <c r="F144" s="25" t="str">
        <f aca="false">IF(OR($B144="",A144=""),"",MAX(0,A144-E144))</f>
        <v/>
      </c>
      <c r="G144" s="19" t="str">
        <f aca="false">IF($B144="","",IFERROR(INDEX(Loans!$E$6:$E$65,MATCH($B144,Loans!$A$6:$A$65,0)),0)-SUMIFS($K$5:$K143,$B$5:$B143,$B144))</f>
        <v/>
      </c>
      <c r="H144" s="19" t="str">
        <f aca="false">IF(OR($B144="",F144=""),"",ROUND(G144*Start!$B$7*F144/Start!$B$8,2))</f>
        <v/>
      </c>
      <c r="I144" s="19" t="str">
        <f aca="false">IF($B144="","",SUMIFS($H$5:$H143,$B$5:$B143,$B144)-SUMIFS($J$5:$J143,$B$5:$B143,$B144))</f>
        <v/>
      </c>
      <c r="J144" s="19" t="str">
        <f aca="false">IF(OR($B144="",H144=""),"",MIN(C144,H144+I144))</f>
        <v/>
      </c>
      <c r="K144" s="18" t="str">
        <f aca="false">IF(OR($B144="",J144=""),"",MAX(0,MIN(C144-J144,G144)))</f>
        <v/>
      </c>
      <c r="L144" s="18" t="str">
        <f aca="false">IF(OR($B144="",K144=""),"",G144-K144)</f>
        <v/>
      </c>
      <c r="M144" s="19" t="str">
        <f aca="false">IF(OR($B144="",J144=""),"",H144+I144-J144)</f>
        <v/>
      </c>
    </row>
    <row r="145" customFormat="false" ht="15" hidden="false" customHeight="false" outlineLevel="0" collapsed="false">
      <c r="A145" s="14"/>
      <c r="B145" s="5"/>
      <c r="C145" s="9"/>
      <c r="D145" s="24" t="str">
        <f aca="false">IF($B145="","",IFERROR(INDEX(Loans!$D$6:$D$65,MATCH($B145,Loans!$A$6:$A$65,0)),""))</f>
        <v/>
      </c>
      <c r="E145" s="24" t="str">
        <f aca="false">IF($B145="","",IF(COUNTIFS($B$5:$B144,$B145)=0,D145,_xlfn.MAXIFS($A$5:$A144,$B$5:$B144,$B145)))</f>
        <v/>
      </c>
      <c r="F145" s="25" t="str">
        <f aca="false">IF(OR($B145="",A145=""),"",MAX(0,A145-E145))</f>
        <v/>
      </c>
      <c r="G145" s="19" t="str">
        <f aca="false">IF($B145="","",IFERROR(INDEX(Loans!$E$6:$E$65,MATCH($B145,Loans!$A$6:$A$65,0)),0)-SUMIFS($K$5:$K144,$B$5:$B144,$B145))</f>
        <v/>
      </c>
      <c r="H145" s="19" t="str">
        <f aca="false">IF(OR($B145="",F145=""),"",ROUND(G145*Start!$B$7*F145/Start!$B$8,2))</f>
        <v/>
      </c>
      <c r="I145" s="19" t="str">
        <f aca="false">IF($B145="","",SUMIFS($H$5:$H144,$B$5:$B144,$B145)-SUMIFS($J$5:$J144,$B$5:$B144,$B145))</f>
        <v/>
      </c>
      <c r="J145" s="19" t="str">
        <f aca="false">IF(OR($B145="",H145=""),"",MIN(C145,H145+I145))</f>
        <v/>
      </c>
      <c r="K145" s="18" t="str">
        <f aca="false">IF(OR($B145="",J145=""),"",MAX(0,MIN(C145-J145,G145)))</f>
        <v/>
      </c>
      <c r="L145" s="18" t="str">
        <f aca="false">IF(OR($B145="",K145=""),"",G145-K145)</f>
        <v/>
      </c>
      <c r="M145" s="19" t="str">
        <f aca="false">IF(OR($B145="",J145=""),"",H145+I145-J145)</f>
        <v/>
      </c>
    </row>
    <row r="146" customFormat="false" ht="15" hidden="false" customHeight="false" outlineLevel="0" collapsed="false">
      <c r="A146" s="14"/>
      <c r="B146" s="5"/>
      <c r="C146" s="9"/>
      <c r="D146" s="24" t="str">
        <f aca="false">IF($B146="","",IFERROR(INDEX(Loans!$D$6:$D$65,MATCH($B146,Loans!$A$6:$A$65,0)),""))</f>
        <v/>
      </c>
      <c r="E146" s="24" t="str">
        <f aca="false">IF($B146="","",IF(COUNTIFS($B$5:$B145,$B146)=0,D146,_xlfn.MAXIFS($A$5:$A145,$B$5:$B145,$B146)))</f>
        <v/>
      </c>
      <c r="F146" s="25" t="str">
        <f aca="false">IF(OR($B146="",A146=""),"",MAX(0,A146-E146))</f>
        <v/>
      </c>
      <c r="G146" s="19" t="str">
        <f aca="false">IF($B146="","",IFERROR(INDEX(Loans!$E$6:$E$65,MATCH($B146,Loans!$A$6:$A$65,0)),0)-SUMIFS($K$5:$K145,$B$5:$B145,$B146))</f>
        <v/>
      </c>
      <c r="H146" s="19" t="str">
        <f aca="false">IF(OR($B146="",F146=""),"",ROUND(G146*Start!$B$7*F146/Start!$B$8,2))</f>
        <v/>
      </c>
      <c r="I146" s="19" t="str">
        <f aca="false">IF($B146="","",SUMIFS($H$5:$H145,$B$5:$B145,$B146)-SUMIFS($J$5:$J145,$B$5:$B145,$B146))</f>
        <v/>
      </c>
      <c r="J146" s="19" t="str">
        <f aca="false">IF(OR($B146="",H146=""),"",MIN(C146,H146+I146))</f>
        <v/>
      </c>
      <c r="K146" s="18" t="str">
        <f aca="false">IF(OR($B146="",J146=""),"",MAX(0,MIN(C146-J146,G146)))</f>
        <v/>
      </c>
      <c r="L146" s="18" t="str">
        <f aca="false">IF(OR($B146="",K146=""),"",G146-K146)</f>
        <v/>
      </c>
      <c r="M146" s="19" t="str">
        <f aca="false">IF(OR($B146="",J146=""),"",H146+I146-J146)</f>
        <v/>
      </c>
    </row>
    <row r="147" customFormat="false" ht="15" hidden="false" customHeight="false" outlineLevel="0" collapsed="false">
      <c r="A147" s="14"/>
      <c r="B147" s="5"/>
      <c r="C147" s="9"/>
      <c r="D147" s="24" t="str">
        <f aca="false">IF($B147="","",IFERROR(INDEX(Loans!$D$6:$D$65,MATCH($B147,Loans!$A$6:$A$65,0)),""))</f>
        <v/>
      </c>
      <c r="E147" s="24" t="str">
        <f aca="false">IF($B147="","",IF(COUNTIFS($B$5:$B146,$B147)=0,D147,_xlfn.MAXIFS($A$5:$A146,$B$5:$B146,$B147)))</f>
        <v/>
      </c>
      <c r="F147" s="25" t="str">
        <f aca="false">IF(OR($B147="",A147=""),"",MAX(0,A147-E147))</f>
        <v/>
      </c>
      <c r="G147" s="19" t="str">
        <f aca="false">IF($B147="","",IFERROR(INDEX(Loans!$E$6:$E$65,MATCH($B147,Loans!$A$6:$A$65,0)),0)-SUMIFS($K$5:$K146,$B$5:$B146,$B147))</f>
        <v/>
      </c>
      <c r="H147" s="19" t="str">
        <f aca="false">IF(OR($B147="",F147=""),"",ROUND(G147*Start!$B$7*F147/Start!$B$8,2))</f>
        <v/>
      </c>
      <c r="I147" s="19" t="str">
        <f aca="false">IF($B147="","",SUMIFS($H$5:$H146,$B$5:$B146,$B147)-SUMIFS($J$5:$J146,$B$5:$B146,$B147))</f>
        <v/>
      </c>
      <c r="J147" s="19" t="str">
        <f aca="false">IF(OR($B147="",H147=""),"",MIN(C147,H147+I147))</f>
        <v/>
      </c>
      <c r="K147" s="18" t="str">
        <f aca="false">IF(OR($B147="",J147=""),"",MAX(0,MIN(C147-J147,G147)))</f>
        <v/>
      </c>
      <c r="L147" s="18" t="str">
        <f aca="false">IF(OR($B147="",K147=""),"",G147-K147)</f>
        <v/>
      </c>
      <c r="M147" s="19" t="str">
        <f aca="false">IF(OR($B147="",J147=""),"",H147+I147-J147)</f>
        <v/>
      </c>
    </row>
    <row r="148" customFormat="false" ht="15" hidden="false" customHeight="false" outlineLevel="0" collapsed="false">
      <c r="A148" s="14"/>
      <c r="B148" s="5"/>
      <c r="C148" s="9"/>
      <c r="D148" s="24" t="str">
        <f aca="false">IF($B148="","",IFERROR(INDEX(Loans!$D$6:$D$65,MATCH($B148,Loans!$A$6:$A$65,0)),""))</f>
        <v/>
      </c>
      <c r="E148" s="24" t="str">
        <f aca="false">IF($B148="","",IF(COUNTIFS($B$5:$B147,$B148)=0,D148,_xlfn.MAXIFS($A$5:$A147,$B$5:$B147,$B148)))</f>
        <v/>
      </c>
      <c r="F148" s="25" t="str">
        <f aca="false">IF(OR($B148="",A148=""),"",MAX(0,A148-E148))</f>
        <v/>
      </c>
      <c r="G148" s="19" t="str">
        <f aca="false">IF($B148="","",IFERROR(INDEX(Loans!$E$6:$E$65,MATCH($B148,Loans!$A$6:$A$65,0)),0)-SUMIFS($K$5:$K147,$B$5:$B147,$B148))</f>
        <v/>
      </c>
      <c r="H148" s="19" t="str">
        <f aca="false">IF(OR($B148="",F148=""),"",ROUND(G148*Start!$B$7*F148/Start!$B$8,2))</f>
        <v/>
      </c>
      <c r="I148" s="19" t="str">
        <f aca="false">IF($B148="","",SUMIFS($H$5:$H147,$B$5:$B147,$B148)-SUMIFS($J$5:$J147,$B$5:$B147,$B148))</f>
        <v/>
      </c>
      <c r="J148" s="19" t="str">
        <f aca="false">IF(OR($B148="",H148=""),"",MIN(C148,H148+I148))</f>
        <v/>
      </c>
      <c r="K148" s="18" t="str">
        <f aca="false">IF(OR($B148="",J148=""),"",MAX(0,MIN(C148-J148,G148)))</f>
        <v/>
      </c>
      <c r="L148" s="18" t="str">
        <f aca="false">IF(OR($B148="",K148=""),"",G148-K148)</f>
        <v/>
      </c>
      <c r="M148" s="19" t="str">
        <f aca="false">IF(OR($B148="",J148=""),"",H148+I148-J148)</f>
        <v/>
      </c>
    </row>
    <row r="149" customFormat="false" ht="15" hidden="false" customHeight="false" outlineLevel="0" collapsed="false">
      <c r="A149" s="14"/>
      <c r="B149" s="5"/>
      <c r="C149" s="9"/>
      <c r="D149" s="24" t="str">
        <f aca="false">IF($B149="","",IFERROR(INDEX(Loans!$D$6:$D$65,MATCH($B149,Loans!$A$6:$A$65,0)),""))</f>
        <v/>
      </c>
      <c r="E149" s="24" t="str">
        <f aca="false">IF($B149="","",IF(COUNTIFS($B$5:$B148,$B149)=0,D149,_xlfn.MAXIFS($A$5:$A148,$B$5:$B148,$B149)))</f>
        <v/>
      </c>
      <c r="F149" s="25" t="str">
        <f aca="false">IF(OR($B149="",A149=""),"",MAX(0,A149-E149))</f>
        <v/>
      </c>
      <c r="G149" s="19" t="str">
        <f aca="false">IF($B149="","",IFERROR(INDEX(Loans!$E$6:$E$65,MATCH($B149,Loans!$A$6:$A$65,0)),0)-SUMIFS($K$5:$K148,$B$5:$B148,$B149))</f>
        <v/>
      </c>
      <c r="H149" s="19" t="str">
        <f aca="false">IF(OR($B149="",F149=""),"",ROUND(G149*Start!$B$7*F149/Start!$B$8,2))</f>
        <v/>
      </c>
      <c r="I149" s="19" t="str">
        <f aca="false">IF($B149="","",SUMIFS($H$5:$H148,$B$5:$B148,$B149)-SUMIFS($J$5:$J148,$B$5:$B148,$B149))</f>
        <v/>
      </c>
      <c r="J149" s="19" t="str">
        <f aca="false">IF(OR($B149="",H149=""),"",MIN(C149,H149+I149))</f>
        <v/>
      </c>
      <c r="K149" s="18" t="str">
        <f aca="false">IF(OR($B149="",J149=""),"",MAX(0,MIN(C149-J149,G149)))</f>
        <v/>
      </c>
      <c r="L149" s="18" t="str">
        <f aca="false">IF(OR($B149="",K149=""),"",G149-K149)</f>
        <v/>
      </c>
      <c r="M149" s="19" t="str">
        <f aca="false">IF(OR($B149="",J149=""),"",H149+I149-J149)</f>
        <v/>
      </c>
    </row>
    <row r="150" customFormat="false" ht="15" hidden="false" customHeight="false" outlineLevel="0" collapsed="false">
      <c r="A150" s="14"/>
      <c r="B150" s="5"/>
      <c r="C150" s="9"/>
      <c r="D150" s="24" t="str">
        <f aca="false">IF($B150="","",IFERROR(INDEX(Loans!$D$6:$D$65,MATCH($B150,Loans!$A$6:$A$65,0)),""))</f>
        <v/>
      </c>
      <c r="E150" s="24" t="str">
        <f aca="false">IF($B150="","",IF(COUNTIFS($B$5:$B149,$B150)=0,D150,_xlfn.MAXIFS($A$5:$A149,$B$5:$B149,$B150)))</f>
        <v/>
      </c>
      <c r="F150" s="25" t="str">
        <f aca="false">IF(OR($B150="",A150=""),"",MAX(0,A150-E150))</f>
        <v/>
      </c>
      <c r="G150" s="19" t="str">
        <f aca="false">IF($B150="","",IFERROR(INDEX(Loans!$E$6:$E$65,MATCH($B150,Loans!$A$6:$A$65,0)),0)-SUMIFS($K$5:$K149,$B$5:$B149,$B150))</f>
        <v/>
      </c>
      <c r="H150" s="19" t="str">
        <f aca="false">IF(OR($B150="",F150=""),"",ROUND(G150*Start!$B$7*F150/Start!$B$8,2))</f>
        <v/>
      </c>
      <c r="I150" s="19" t="str">
        <f aca="false">IF($B150="","",SUMIFS($H$5:$H149,$B$5:$B149,$B150)-SUMIFS($J$5:$J149,$B$5:$B149,$B150))</f>
        <v/>
      </c>
      <c r="J150" s="19" t="str">
        <f aca="false">IF(OR($B150="",H150=""),"",MIN(C150,H150+I150))</f>
        <v/>
      </c>
      <c r="K150" s="18" t="str">
        <f aca="false">IF(OR($B150="",J150=""),"",MAX(0,MIN(C150-J150,G150)))</f>
        <v/>
      </c>
      <c r="L150" s="18" t="str">
        <f aca="false">IF(OR($B150="",K150=""),"",G150-K150)</f>
        <v/>
      </c>
      <c r="M150" s="19" t="str">
        <f aca="false">IF(OR($B150="",J150=""),"",H150+I150-J150)</f>
        <v/>
      </c>
    </row>
    <row r="151" customFormat="false" ht="15" hidden="false" customHeight="false" outlineLevel="0" collapsed="false">
      <c r="A151" s="14"/>
      <c r="B151" s="5"/>
      <c r="C151" s="9"/>
      <c r="D151" s="24" t="str">
        <f aca="false">IF($B151="","",IFERROR(INDEX(Loans!$D$6:$D$65,MATCH($B151,Loans!$A$6:$A$65,0)),""))</f>
        <v/>
      </c>
      <c r="E151" s="24" t="str">
        <f aca="false">IF($B151="","",IF(COUNTIFS($B$5:$B150,$B151)=0,D151,_xlfn.MAXIFS($A$5:$A150,$B$5:$B150,$B151)))</f>
        <v/>
      </c>
      <c r="F151" s="25" t="str">
        <f aca="false">IF(OR($B151="",A151=""),"",MAX(0,A151-E151))</f>
        <v/>
      </c>
      <c r="G151" s="19" t="str">
        <f aca="false">IF($B151="","",IFERROR(INDEX(Loans!$E$6:$E$65,MATCH($B151,Loans!$A$6:$A$65,0)),0)-SUMIFS($K$5:$K150,$B$5:$B150,$B151))</f>
        <v/>
      </c>
      <c r="H151" s="19" t="str">
        <f aca="false">IF(OR($B151="",F151=""),"",ROUND(G151*Start!$B$7*F151/Start!$B$8,2))</f>
        <v/>
      </c>
      <c r="I151" s="19" t="str">
        <f aca="false">IF($B151="","",SUMIFS($H$5:$H150,$B$5:$B150,$B151)-SUMIFS($J$5:$J150,$B$5:$B150,$B151))</f>
        <v/>
      </c>
      <c r="J151" s="19" t="str">
        <f aca="false">IF(OR($B151="",H151=""),"",MIN(C151,H151+I151))</f>
        <v/>
      </c>
      <c r="K151" s="18" t="str">
        <f aca="false">IF(OR($B151="",J151=""),"",MAX(0,MIN(C151-J151,G151)))</f>
        <v/>
      </c>
      <c r="L151" s="18" t="str">
        <f aca="false">IF(OR($B151="",K151=""),"",G151-K151)</f>
        <v/>
      </c>
      <c r="M151" s="19" t="str">
        <f aca="false">IF(OR($B151="",J151=""),"",H151+I151-J151)</f>
        <v/>
      </c>
    </row>
    <row r="152" customFormat="false" ht="15" hidden="false" customHeight="false" outlineLevel="0" collapsed="false">
      <c r="A152" s="14"/>
      <c r="B152" s="5"/>
      <c r="C152" s="9"/>
      <c r="D152" s="24" t="str">
        <f aca="false">IF($B152="","",IFERROR(INDEX(Loans!$D$6:$D$65,MATCH($B152,Loans!$A$6:$A$65,0)),""))</f>
        <v/>
      </c>
      <c r="E152" s="24" t="str">
        <f aca="false">IF($B152="","",IF(COUNTIFS($B$5:$B151,$B152)=0,D152,_xlfn.MAXIFS($A$5:$A151,$B$5:$B151,$B152)))</f>
        <v/>
      </c>
      <c r="F152" s="25" t="str">
        <f aca="false">IF(OR($B152="",A152=""),"",MAX(0,A152-E152))</f>
        <v/>
      </c>
      <c r="G152" s="19" t="str">
        <f aca="false">IF($B152="","",IFERROR(INDEX(Loans!$E$6:$E$65,MATCH($B152,Loans!$A$6:$A$65,0)),0)-SUMIFS($K$5:$K151,$B$5:$B151,$B152))</f>
        <v/>
      </c>
      <c r="H152" s="19" t="str">
        <f aca="false">IF(OR($B152="",F152=""),"",ROUND(G152*Start!$B$7*F152/Start!$B$8,2))</f>
        <v/>
      </c>
      <c r="I152" s="19" t="str">
        <f aca="false">IF($B152="","",SUMIFS($H$5:$H151,$B$5:$B151,$B152)-SUMIFS($J$5:$J151,$B$5:$B151,$B152))</f>
        <v/>
      </c>
      <c r="J152" s="19" t="str">
        <f aca="false">IF(OR($B152="",H152=""),"",MIN(C152,H152+I152))</f>
        <v/>
      </c>
      <c r="K152" s="18" t="str">
        <f aca="false">IF(OR($B152="",J152=""),"",MAX(0,MIN(C152-J152,G152)))</f>
        <v/>
      </c>
      <c r="L152" s="18" t="str">
        <f aca="false">IF(OR($B152="",K152=""),"",G152-K152)</f>
        <v/>
      </c>
      <c r="M152" s="19" t="str">
        <f aca="false">IF(OR($B152="",J152=""),"",H152+I152-J152)</f>
        <v/>
      </c>
    </row>
    <row r="153" customFormat="false" ht="15" hidden="false" customHeight="false" outlineLevel="0" collapsed="false">
      <c r="A153" s="14"/>
      <c r="B153" s="5"/>
      <c r="C153" s="9"/>
      <c r="D153" s="24" t="str">
        <f aca="false">IF($B153="","",IFERROR(INDEX(Loans!$D$6:$D$65,MATCH($B153,Loans!$A$6:$A$65,0)),""))</f>
        <v/>
      </c>
      <c r="E153" s="24" t="str">
        <f aca="false">IF($B153="","",IF(COUNTIFS($B$5:$B152,$B153)=0,D153,_xlfn.MAXIFS($A$5:$A152,$B$5:$B152,$B153)))</f>
        <v/>
      </c>
      <c r="F153" s="25" t="str">
        <f aca="false">IF(OR($B153="",A153=""),"",MAX(0,A153-E153))</f>
        <v/>
      </c>
      <c r="G153" s="19" t="str">
        <f aca="false">IF($B153="","",IFERROR(INDEX(Loans!$E$6:$E$65,MATCH($B153,Loans!$A$6:$A$65,0)),0)-SUMIFS($K$5:$K152,$B$5:$B152,$B153))</f>
        <v/>
      </c>
      <c r="H153" s="19" t="str">
        <f aca="false">IF(OR($B153="",F153=""),"",ROUND(G153*Start!$B$7*F153/Start!$B$8,2))</f>
        <v/>
      </c>
      <c r="I153" s="19" t="str">
        <f aca="false">IF($B153="","",SUMIFS($H$5:$H152,$B$5:$B152,$B153)-SUMIFS($J$5:$J152,$B$5:$B152,$B153))</f>
        <v/>
      </c>
      <c r="J153" s="19" t="str">
        <f aca="false">IF(OR($B153="",H153=""),"",MIN(C153,H153+I153))</f>
        <v/>
      </c>
      <c r="K153" s="18" t="str">
        <f aca="false">IF(OR($B153="",J153=""),"",MAX(0,MIN(C153-J153,G153)))</f>
        <v/>
      </c>
      <c r="L153" s="18" t="str">
        <f aca="false">IF(OR($B153="",K153=""),"",G153-K153)</f>
        <v/>
      </c>
      <c r="M153" s="19" t="str">
        <f aca="false">IF(OR($B153="",J153=""),"",H153+I153-J153)</f>
        <v/>
      </c>
    </row>
    <row r="154" customFormat="false" ht="15" hidden="false" customHeight="false" outlineLevel="0" collapsed="false">
      <c r="A154" s="14"/>
      <c r="B154" s="5"/>
      <c r="C154" s="9"/>
      <c r="D154" s="24" t="str">
        <f aca="false">IF($B154="","",IFERROR(INDEX(Loans!$D$6:$D$65,MATCH($B154,Loans!$A$6:$A$65,0)),""))</f>
        <v/>
      </c>
      <c r="E154" s="24" t="str">
        <f aca="false">IF($B154="","",IF(COUNTIFS($B$5:$B153,$B154)=0,D154,_xlfn.MAXIFS($A$5:$A153,$B$5:$B153,$B154)))</f>
        <v/>
      </c>
      <c r="F154" s="25" t="str">
        <f aca="false">IF(OR($B154="",A154=""),"",MAX(0,A154-E154))</f>
        <v/>
      </c>
      <c r="G154" s="19" t="str">
        <f aca="false">IF($B154="","",IFERROR(INDEX(Loans!$E$6:$E$65,MATCH($B154,Loans!$A$6:$A$65,0)),0)-SUMIFS($K$5:$K153,$B$5:$B153,$B154))</f>
        <v/>
      </c>
      <c r="H154" s="19" t="str">
        <f aca="false">IF(OR($B154="",F154=""),"",ROUND(G154*Start!$B$7*F154/Start!$B$8,2))</f>
        <v/>
      </c>
      <c r="I154" s="19" t="str">
        <f aca="false">IF($B154="","",SUMIFS($H$5:$H153,$B$5:$B153,$B154)-SUMIFS($J$5:$J153,$B$5:$B153,$B154))</f>
        <v/>
      </c>
      <c r="J154" s="19" t="str">
        <f aca="false">IF(OR($B154="",H154=""),"",MIN(C154,H154+I154))</f>
        <v/>
      </c>
      <c r="K154" s="18" t="str">
        <f aca="false">IF(OR($B154="",J154=""),"",MAX(0,MIN(C154-J154,G154)))</f>
        <v/>
      </c>
      <c r="L154" s="18" t="str">
        <f aca="false">IF(OR($B154="",K154=""),"",G154-K154)</f>
        <v/>
      </c>
      <c r="M154" s="19" t="str">
        <f aca="false">IF(OR($B154="",J154=""),"",H154+I154-J154)</f>
        <v/>
      </c>
    </row>
    <row r="155" customFormat="false" ht="15" hidden="false" customHeight="false" outlineLevel="0" collapsed="false">
      <c r="A155" s="14"/>
      <c r="B155" s="5"/>
      <c r="C155" s="9"/>
      <c r="D155" s="24" t="str">
        <f aca="false">IF($B155="","",IFERROR(INDEX(Loans!$D$6:$D$65,MATCH($B155,Loans!$A$6:$A$65,0)),""))</f>
        <v/>
      </c>
      <c r="E155" s="24" t="str">
        <f aca="false">IF($B155="","",IF(COUNTIFS($B$5:$B154,$B155)=0,D155,_xlfn.MAXIFS($A$5:$A154,$B$5:$B154,$B155)))</f>
        <v/>
      </c>
      <c r="F155" s="25" t="str">
        <f aca="false">IF(OR($B155="",A155=""),"",MAX(0,A155-E155))</f>
        <v/>
      </c>
      <c r="G155" s="19" t="str">
        <f aca="false">IF($B155="","",IFERROR(INDEX(Loans!$E$6:$E$65,MATCH($B155,Loans!$A$6:$A$65,0)),0)-SUMIFS($K$5:$K154,$B$5:$B154,$B155))</f>
        <v/>
      </c>
      <c r="H155" s="19" t="str">
        <f aca="false">IF(OR($B155="",F155=""),"",ROUND(G155*Start!$B$7*F155/Start!$B$8,2))</f>
        <v/>
      </c>
      <c r="I155" s="19" t="str">
        <f aca="false">IF($B155="","",SUMIFS($H$5:$H154,$B$5:$B154,$B155)-SUMIFS($J$5:$J154,$B$5:$B154,$B155))</f>
        <v/>
      </c>
      <c r="J155" s="19" t="str">
        <f aca="false">IF(OR($B155="",H155=""),"",MIN(C155,H155+I155))</f>
        <v/>
      </c>
      <c r="K155" s="18" t="str">
        <f aca="false">IF(OR($B155="",J155=""),"",MAX(0,MIN(C155-J155,G155)))</f>
        <v/>
      </c>
      <c r="L155" s="18" t="str">
        <f aca="false">IF(OR($B155="",K155=""),"",G155-K155)</f>
        <v/>
      </c>
      <c r="M155" s="19" t="str">
        <f aca="false">IF(OR($B155="",J155=""),"",H155+I155-J155)</f>
        <v/>
      </c>
    </row>
    <row r="156" customFormat="false" ht="15" hidden="false" customHeight="false" outlineLevel="0" collapsed="false">
      <c r="A156" s="14"/>
      <c r="B156" s="5"/>
      <c r="C156" s="9"/>
      <c r="D156" s="24" t="str">
        <f aca="false">IF($B156="","",IFERROR(INDEX(Loans!$D$6:$D$65,MATCH($B156,Loans!$A$6:$A$65,0)),""))</f>
        <v/>
      </c>
      <c r="E156" s="24" t="str">
        <f aca="false">IF($B156="","",IF(COUNTIFS($B$5:$B155,$B156)=0,D156,_xlfn.MAXIFS($A$5:$A155,$B$5:$B155,$B156)))</f>
        <v/>
      </c>
      <c r="F156" s="25" t="str">
        <f aca="false">IF(OR($B156="",A156=""),"",MAX(0,A156-E156))</f>
        <v/>
      </c>
      <c r="G156" s="19" t="str">
        <f aca="false">IF($B156="","",IFERROR(INDEX(Loans!$E$6:$E$65,MATCH($B156,Loans!$A$6:$A$65,0)),0)-SUMIFS($K$5:$K155,$B$5:$B155,$B156))</f>
        <v/>
      </c>
      <c r="H156" s="19" t="str">
        <f aca="false">IF(OR($B156="",F156=""),"",ROUND(G156*Start!$B$7*F156/Start!$B$8,2))</f>
        <v/>
      </c>
      <c r="I156" s="19" t="str">
        <f aca="false">IF($B156="","",SUMIFS($H$5:$H155,$B$5:$B155,$B156)-SUMIFS($J$5:$J155,$B$5:$B155,$B156))</f>
        <v/>
      </c>
      <c r="J156" s="19" t="str">
        <f aca="false">IF(OR($B156="",H156=""),"",MIN(C156,H156+I156))</f>
        <v/>
      </c>
      <c r="K156" s="18" t="str">
        <f aca="false">IF(OR($B156="",J156=""),"",MAX(0,MIN(C156-J156,G156)))</f>
        <v/>
      </c>
      <c r="L156" s="18" t="str">
        <f aca="false">IF(OR($B156="",K156=""),"",G156-K156)</f>
        <v/>
      </c>
      <c r="M156" s="19" t="str">
        <f aca="false">IF(OR($B156="",J156=""),"",H156+I156-J156)</f>
        <v/>
      </c>
    </row>
    <row r="157" customFormat="false" ht="15" hidden="false" customHeight="false" outlineLevel="0" collapsed="false">
      <c r="A157" s="14"/>
      <c r="B157" s="5"/>
      <c r="C157" s="9"/>
      <c r="D157" s="24" t="str">
        <f aca="false">IF($B157="","",IFERROR(INDEX(Loans!$D$6:$D$65,MATCH($B157,Loans!$A$6:$A$65,0)),""))</f>
        <v/>
      </c>
      <c r="E157" s="24" t="str">
        <f aca="false">IF($B157="","",IF(COUNTIFS($B$5:$B156,$B157)=0,D157,_xlfn.MAXIFS($A$5:$A156,$B$5:$B156,$B157)))</f>
        <v/>
      </c>
      <c r="F157" s="25" t="str">
        <f aca="false">IF(OR($B157="",A157=""),"",MAX(0,A157-E157))</f>
        <v/>
      </c>
      <c r="G157" s="19" t="str">
        <f aca="false">IF($B157="","",IFERROR(INDEX(Loans!$E$6:$E$65,MATCH($B157,Loans!$A$6:$A$65,0)),0)-SUMIFS($K$5:$K156,$B$5:$B156,$B157))</f>
        <v/>
      </c>
      <c r="H157" s="19" t="str">
        <f aca="false">IF(OR($B157="",F157=""),"",ROUND(G157*Start!$B$7*F157/Start!$B$8,2))</f>
        <v/>
      </c>
      <c r="I157" s="19" t="str">
        <f aca="false">IF($B157="","",SUMIFS($H$5:$H156,$B$5:$B156,$B157)-SUMIFS($J$5:$J156,$B$5:$B156,$B157))</f>
        <v/>
      </c>
      <c r="J157" s="19" t="str">
        <f aca="false">IF(OR($B157="",H157=""),"",MIN(C157,H157+I157))</f>
        <v/>
      </c>
      <c r="K157" s="18" t="str">
        <f aca="false">IF(OR($B157="",J157=""),"",MAX(0,MIN(C157-J157,G157)))</f>
        <v/>
      </c>
      <c r="L157" s="18" t="str">
        <f aca="false">IF(OR($B157="",K157=""),"",G157-K157)</f>
        <v/>
      </c>
      <c r="M157" s="19" t="str">
        <f aca="false">IF(OR($B157="",J157=""),"",H157+I157-J157)</f>
        <v/>
      </c>
    </row>
    <row r="158" customFormat="false" ht="15" hidden="false" customHeight="false" outlineLevel="0" collapsed="false">
      <c r="A158" s="14"/>
      <c r="B158" s="5"/>
      <c r="C158" s="9"/>
      <c r="D158" s="24" t="str">
        <f aca="false">IF($B158="","",IFERROR(INDEX(Loans!$D$6:$D$65,MATCH($B158,Loans!$A$6:$A$65,0)),""))</f>
        <v/>
      </c>
      <c r="E158" s="24" t="str">
        <f aca="false">IF($B158="","",IF(COUNTIFS($B$5:$B157,$B158)=0,D158,_xlfn.MAXIFS($A$5:$A157,$B$5:$B157,$B158)))</f>
        <v/>
      </c>
      <c r="F158" s="25" t="str">
        <f aca="false">IF(OR($B158="",A158=""),"",MAX(0,A158-E158))</f>
        <v/>
      </c>
      <c r="G158" s="19" t="str">
        <f aca="false">IF($B158="","",IFERROR(INDEX(Loans!$E$6:$E$65,MATCH($B158,Loans!$A$6:$A$65,0)),0)-SUMIFS($K$5:$K157,$B$5:$B157,$B158))</f>
        <v/>
      </c>
      <c r="H158" s="19" t="str">
        <f aca="false">IF(OR($B158="",F158=""),"",ROUND(G158*Start!$B$7*F158/Start!$B$8,2))</f>
        <v/>
      </c>
      <c r="I158" s="19" t="str">
        <f aca="false">IF($B158="","",SUMIFS($H$5:$H157,$B$5:$B157,$B158)-SUMIFS($J$5:$J157,$B$5:$B157,$B158))</f>
        <v/>
      </c>
      <c r="J158" s="19" t="str">
        <f aca="false">IF(OR($B158="",H158=""),"",MIN(C158,H158+I158))</f>
        <v/>
      </c>
      <c r="K158" s="18" t="str">
        <f aca="false">IF(OR($B158="",J158=""),"",MAX(0,MIN(C158-J158,G158)))</f>
        <v/>
      </c>
      <c r="L158" s="18" t="str">
        <f aca="false">IF(OR($B158="",K158=""),"",G158-K158)</f>
        <v/>
      </c>
      <c r="M158" s="19" t="str">
        <f aca="false">IF(OR($B158="",J158=""),"",H158+I158-J158)</f>
        <v/>
      </c>
    </row>
    <row r="159" customFormat="false" ht="15" hidden="false" customHeight="false" outlineLevel="0" collapsed="false">
      <c r="A159" s="14"/>
      <c r="B159" s="5"/>
      <c r="C159" s="9"/>
      <c r="D159" s="24" t="str">
        <f aca="false">IF($B159="","",IFERROR(INDEX(Loans!$D$6:$D$65,MATCH($B159,Loans!$A$6:$A$65,0)),""))</f>
        <v/>
      </c>
      <c r="E159" s="24" t="str">
        <f aca="false">IF($B159="","",IF(COUNTIFS($B$5:$B158,$B159)=0,D159,_xlfn.MAXIFS($A$5:$A158,$B$5:$B158,$B159)))</f>
        <v/>
      </c>
      <c r="F159" s="25" t="str">
        <f aca="false">IF(OR($B159="",A159=""),"",MAX(0,A159-E159))</f>
        <v/>
      </c>
      <c r="G159" s="19" t="str">
        <f aca="false">IF($B159="","",IFERROR(INDEX(Loans!$E$6:$E$65,MATCH($B159,Loans!$A$6:$A$65,0)),0)-SUMIFS($K$5:$K158,$B$5:$B158,$B159))</f>
        <v/>
      </c>
      <c r="H159" s="19" t="str">
        <f aca="false">IF(OR($B159="",F159=""),"",ROUND(G159*Start!$B$7*F159/Start!$B$8,2))</f>
        <v/>
      </c>
      <c r="I159" s="19" t="str">
        <f aca="false">IF($B159="","",SUMIFS($H$5:$H158,$B$5:$B158,$B159)-SUMIFS($J$5:$J158,$B$5:$B158,$B159))</f>
        <v/>
      </c>
      <c r="J159" s="19" t="str">
        <f aca="false">IF(OR($B159="",H159=""),"",MIN(C159,H159+I159))</f>
        <v/>
      </c>
      <c r="K159" s="18" t="str">
        <f aca="false">IF(OR($B159="",J159=""),"",MAX(0,MIN(C159-J159,G159)))</f>
        <v/>
      </c>
      <c r="L159" s="18" t="str">
        <f aca="false">IF(OR($B159="",K159=""),"",G159-K159)</f>
        <v/>
      </c>
      <c r="M159" s="19" t="str">
        <f aca="false">IF(OR($B159="",J159=""),"",H159+I159-J159)</f>
        <v/>
      </c>
    </row>
    <row r="160" customFormat="false" ht="15" hidden="false" customHeight="false" outlineLevel="0" collapsed="false">
      <c r="A160" s="14"/>
      <c r="B160" s="5"/>
      <c r="C160" s="9"/>
      <c r="D160" s="24" t="str">
        <f aca="false">IF($B160="","",IFERROR(INDEX(Loans!$D$6:$D$65,MATCH($B160,Loans!$A$6:$A$65,0)),""))</f>
        <v/>
      </c>
      <c r="E160" s="24" t="str">
        <f aca="false">IF($B160="","",IF(COUNTIFS($B$5:$B159,$B160)=0,D160,_xlfn.MAXIFS($A$5:$A159,$B$5:$B159,$B160)))</f>
        <v/>
      </c>
      <c r="F160" s="25" t="str">
        <f aca="false">IF(OR($B160="",A160=""),"",MAX(0,A160-E160))</f>
        <v/>
      </c>
      <c r="G160" s="19" t="str">
        <f aca="false">IF($B160="","",IFERROR(INDEX(Loans!$E$6:$E$65,MATCH($B160,Loans!$A$6:$A$65,0)),0)-SUMIFS($K$5:$K159,$B$5:$B159,$B160))</f>
        <v/>
      </c>
      <c r="H160" s="19" t="str">
        <f aca="false">IF(OR($B160="",F160=""),"",ROUND(G160*Start!$B$7*F160/Start!$B$8,2))</f>
        <v/>
      </c>
      <c r="I160" s="19" t="str">
        <f aca="false">IF($B160="","",SUMIFS($H$5:$H159,$B$5:$B159,$B160)-SUMIFS($J$5:$J159,$B$5:$B159,$B160))</f>
        <v/>
      </c>
      <c r="J160" s="19" t="str">
        <f aca="false">IF(OR($B160="",H160=""),"",MIN(C160,H160+I160))</f>
        <v/>
      </c>
      <c r="K160" s="18" t="str">
        <f aca="false">IF(OR($B160="",J160=""),"",MAX(0,MIN(C160-J160,G160)))</f>
        <v/>
      </c>
      <c r="L160" s="18" t="str">
        <f aca="false">IF(OR($B160="",K160=""),"",G160-K160)</f>
        <v/>
      </c>
      <c r="M160" s="19" t="str">
        <f aca="false">IF(OR($B160="",J160=""),"",H160+I160-J160)</f>
        <v/>
      </c>
    </row>
    <row r="161" customFormat="false" ht="15" hidden="false" customHeight="false" outlineLevel="0" collapsed="false">
      <c r="A161" s="14"/>
      <c r="B161" s="5"/>
      <c r="C161" s="9"/>
      <c r="D161" s="24" t="str">
        <f aca="false">IF($B161="","",IFERROR(INDEX(Loans!$D$6:$D$65,MATCH($B161,Loans!$A$6:$A$65,0)),""))</f>
        <v/>
      </c>
      <c r="E161" s="24" t="str">
        <f aca="false">IF($B161="","",IF(COUNTIFS($B$5:$B160,$B161)=0,D161,_xlfn.MAXIFS($A$5:$A160,$B$5:$B160,$B161)))</f>
        <v/>
      </c>
      <c r="F161" s="25" t="str">
        <f aca="false">IF(OR($B161="",A161=""),"",MAX(0,A161-E161))</f>
        <v/>
      </c>
      <c r="G161" s="19" t="str">
        <f aca="false">IF($B161="","",IFERROR(INDEX(Loans!$E$6:$E$65,MATCH($B161,Loans!$A$6:$A$65,0)),0)-SUMIFS($K$5:$K160,$B$5:$B160,$B161))</f>
        <v/>
      </c>
      <c r="H161" s="19" t="str">
        <f aca="false">IF(OR($B161="",F161=""),"",ROUND(G161*Start!$B$7*F161/Start!$B$8,2))</f>
        <v/>
      </c>
      <c r="I161" s="19" t="str">
        <f aca="false">IF($B161="","",SUMIFS($H$5:$H160,$B$5:$B160,$B161)-SUMIFS($J$5:$J160,$B$5:$B160,$B161))</f>
        <v/>
      </c>
      <c r="J161" s="19" t="str">
        <f aca="false">IF(OR($B161="",H161=""),"",MIN(C161,H161+I161))</f>
        <v/>
      </c>
      <c r="K161" s="18" t="str">
        <f aca="false">IF(OR($B161="",J161=""),"",MAX(0,MIN(C161-J161,G161)))</f>
        <v/>
      </c>
      <c r="L161" s="18" t="str">
        <f aca="false">IF(OR($B161="",K161=""),"",G161-K161)</f>
        <v/>
      </c>
      <c r="M161" s="19" t="str">
        <f aca="false">IF(OR($B161="",J161=""),"",H161+I161-J161)</f>
        <v/>
      </c>
    </row>
    <row r="162" customFormat="false" ht="15" hidden="false" customHeight="false" outlineLevel="0" collapsed="false">
      <c r="A162" s="14"/>
      <c r="B162" s="5"/>
      <c r="C162" s="9"/>
      <c r="D162" s="24" t="str">
        <f aca="false">IF($B162="","",IFERROR(INDEX(Loans!$D$6:$D$65,MATCH($B162,Loans!$A$6:$A$65,0)),""))</f>
        <v/>
      </c>
      <c r="E162" s="24" t="str">
        <f aca="false">IF($B162="","",IF(COUNTIFS($B$5:$B161,$B162)=0,D162,_xlfn.MAXIFS($A$5:$A161,$B$5:$B161,$B162)))</f>
        <v/>
      </c>
      <c r="F162" s="25" t="str">
        <f aca="false">IF(OR($B162="",A162=""),"",MAX(0,A162-E162))</f>
        <v/>
      </c>
      <c r="G162" s="19" t="str">
        <f aca="false">IF($B162="","",IFERROR(INDEX(Loans!$E$6:$E$65,MATCH($B162,Loans!$A$6:$A$65,0)),0)-SUMIFS($K$5:$K161,$B$5:$B161,$B162))</f>
        <v/>
      </c>
      <c r="H162" s="19" t="str">
        <f aca="false">IF(OR($B162="",F162=""),"",ROUND(G162*Start!$B$7*F162/Start!$B$8,2))</f>
        <v/>
      </c>
      <c r="I162" s="19" t="str">
        <f aca="false">IF($B162="","",SUMIFS($H$5:$H161,$B$5:$B161,$B162)-SUMIFS($J$5:$J161,$B$5:$B161,$B162))</f>
        <v/>
      </c>
      <c r="J162" s="19" t="str">
        <f aca="false">IF(OR($B162="",H162=""),"",MIN(C162,H162+I162))</f>
        <v/>
      </c>
      <c r="K162" s="18" t="str">
        <f aca="false">IF(OR($B162="",J162=""),"",MAX(0,MIN(C162-J162,G162)))</f>
        <v/>
      </c>
      <c r="L162" s="18" t="str">
        <f aca="false">IF(OR($B162="",K162=""),"",G162-K162)</f>
        <v/>
      </c>
      <c r="M162" s="19" t="str">
        <f aca="false">IF(OR($B162="",J162=""),"",H162+I162-J162)</f>
        <v/>
      </c>
    </row>
    <row r="163" customFormat="false" ht="15" hidden="false" customHeight="false" outlineLevel="0" collapsed="false">
      <c r="A163" s="14"/>
      <c r="B163" s="5"/>
      <c r="C163" s="9"/>
      <c r="D163" s="24" t="str">
        <f aca="false">IF($B163="","",IFERROR(INDEX(Loans!$D$6:$D$65,MATCH($B163,Loans!$A$6:$A$65,0)),""))</f>
        <v/>
      </c>
      <c r="E163" s="24" t="str">
        <f aca="false">IF($B163="","",IF(COUNTIFS($B$5:$B162,$B163)=0,D163,_xlfn.MAXIFS($A$5:$A162,$B$5:$B162,$B163)))</f>
        <v/>
      </c>
      <c r="F163" s="25" t="str">
        <f aca="false">IF(OR($B163="",A163=""),"",MAX(0,A163-E163))</f>
        <v/>
      </c>
      <c r="G163" s="19" t="str">
        <f aca="false">IF($B163="","",IFERROR(INDEX(Loans!$E$6:$E$65,MATCH($B163,Loans!$A$6:$A$65,0)),0)-SUMIFS($K$5:$K162,$B$5:$B162,$B163))</f>
        <v/>
      </c>
      <c r="H163" s="19" t="str">
        <f aca="false">IF(OR($B163="",F163=""),"",ROUND(G163*Start!$B$7*F163/Start!$B$8,2))</f>
        <v/>
      </c>
      <c r="I163" s="19" t="str">
        <f aca="false">IF($B163="","",SUMIFS($H$5:$H162,$B$5:$B162,$B163)-SUMIFS($J$5:$J162,$B$5:$B162,$B163))</f>
        <v/>
      </c>
      <c r="J163" s="19" t="str">
        <f aca="false">IF(OR($B163="",H163=""),"",MIN(C163,H163+I163))</f>
        <v/>
      </c>
      <c r="K163" s="18" t="str">
        <f aca="false">IF(OR($B163="",J163=""),"",MAX(0,MIN(C163-J163,G163)))</f>
        <v/>
      </c>
      <c r="L163" s="18" t="str">
        <f aca="false">IF(OR($B163="",K163=""),"",G163-K163)</f>
        <v/>
      </c>
      <c r="M163" s="19" t="str">
        <f aca="false">IF(OR($B163="",J163=""),"",H163+I163-J163)</f>
        <v/>
      </c>
    </row>
    <row r="164" customFormat="false" ht="15" hidden="false" customHeight="false" outlineLevel="0" collapsed="false">
      <c r="A164" s="14"/>
      <c r="B164" s="5"/>
      <c r="C164" s="9"/>
      <c r="D164" s="24" t="str">
        <f aca="false">IF($B164="","",IFERROR(INDEX(Loans!$D$6:$D$65,MATCH($B164,Loans!$A$6:$A$65,0)),""))</f>
        <v/>
      </c>
      <c r="E164" s="24" t="str">
        <f aca="false">IF($B164="","",IF(COUNTIFS($B$5:$B163,$B164)=0,D164,_xlfn.MAXIFS($A$5:$A163,$B$5:$B163,$B164)))</f>
        <v/>
      </c>
      <c r="F164" s="25" t="str">
        <f aca="false">IF(OR($B164="",A164=""),"",MAX(0,A164-E164))</f>
        <v/>
      </c>
      <c r="G164" s="19" t="str">
        <f aca="false">IF($B164="","",IFERROR(INDEX(Loans!$E$6:$E$65,MATCH($B164,Loans!$A$6:$A$65,0)),0)-SUMIFS($K$5:$K163,$B$5:$B163,$B164))</f>
        <v/>
      </c>
      <c r="H164" s="19" t="str">
        <f aca="false">IF(OR($B164="",F164=""),"",ROUND(G164*Start!$B$7*F164/Start!$B$8,2))</f>
        <v/>
      </c>
      <c r="I164" s="19" t="str">
        <f aca="false">IF($B164="","",SUMIFS($H$5:$H163,$B$5:$B163,$B164)-SUMIFS($J$5:$J163,$B$5:$B163,$B164))</f>
        <v/>
      </c>
      <c r="J164" s="19" t="str">
        <f aca="false">IF(OR($B164="",H164=""),"",MIN(C164,H164+I164))</f>
        <v/>
      </c>
      <c r="K164" s="18" t="str">
        <f aca="false">IF(OR($B164="",J164=""),"",MAX(0,MIN(C164-J164,G164)))</f>
        <v/>
      </c>
      <c r="L164" s="18" t="str">
        <f aca="false">IF(OR($B164="",K164=""),"",G164-K164)</f>
        <v/>
      </c>
      <c r="M164" s="19" t="str">
        <f aca="false">IF(OR($B164="",J164=""),"",H164+I164-J164)</f>
        <v/>
      </c>
    </row>
    <row r="165" customFormat="false" ht="15" hidden="false" customHeight="false" outlineLevel="0" collapsed="false">
      <c r="A165" s="14"/>
      <c r="B165" s="5"/>
      <c r="C165" s="9"/>
      <c r="D165" s="24" t="str">
        <f aca="false">IF($B165="","",IFERROR(INDEX(Loans!$D$6:$D$65,MATCH($B165,Loans!$A$6:$A$65,0)),""))</f>
        <v/>
      </c>
      <c r="E165" s="24" t="str">
        <f aca="false">IF($B165="","",IF(COUNTIFS($B$5:$B164,$B165)=0,D165,_xlfn.MAXIFS($A$5:$A164,$B$5:$B164,$B165)))</f>
        <v/>
      </c>
      <c r="F165" s="25" t="str">
        <f aca="false">IF(OR($B165="",A165=""),"",MAX(0,A165-E165))</f>
        <v/>
      </c>
      <c r="G165" s="19" t="str">
        <f aca="false">IF($B165="","",IFERROR(INDEX(Loans!$E$6:$E$65,MATCH($B165,Loans!$A$6:$A$65,0)),0)-SUMIFS($K$5:$K164,$B$5:$B164,$B165))</f>
        <v/>
      </c>
      <c r="H165" s="19" t="str">
        <f aca="false">IF(OR($B165="",F165=""),"",ROUND(G165*Start!$B$7*F165/Start!$B$8,2))</f>
        <v/>
      </c>
      <c r="I165" s="19" t="str">
        <f aca="false">IF($B165="","",SUMIFS($H$5:$H164,$B$5:$B164,$B165)-SUMIFS($J$5:$J164,$B$5:$B164,$B165))</f>
        <v/>
      </c>
      <c r="J165" s="19" t="str">
        <f aca="false">IF(OR($B165="",H165=""),"",MIN(C165,H165+I165))</f>
        <v/>
      </c>
      <c r="K165" s="18" t="str">
        <f aca="false">IF(OR($B165="",J165=""),"",MAX(0,MIN(C165-J165,G165)))</f>
        <v/>
      </c>
      <c r="L165" s="18" t="str">
        <f aca="false">IF(OR($B165="",K165=""),"",G165-K165)</f>
        <v/>
      </c>
      <c r="M165" s="19" t="str">
        <f aca="false">IF(OR($B165="",J165=""),"",H165+I165-J165)</f>
        <v/>
      </c>
    </row>
    <row r="166" customFormat="false" ht="15" hidden="false" customHeight="false" outlineLevel="0" collapsed="false">
      <c r="A166" s="14"/>
      <c r="B166" s="5"/>
      <c r="C166" s="9"/>
      <c r="D166" s="24" t="str">
        <f aca="false">IF($B166="","",IFERROR(INDEX(Loans!$D$6:$D$65,MATCH($B166,Loans!$A$6:$A$65,0)),""))</f>
        <v/>
      </c>
      <c r="E166" s="24" t="str">
        <f aca="false">IF($B166="","",IF(COUNTIFS($B$5:$B165,$B166)=0,D166,_xlfn.MAXIFS($A$5:$A165,$B$5:$B165,$B166)))</f>
        <v/>
      </c>
      <c r="F166" s="25" t="str">
        <f aca="false">IF(OR($B166="",A166=""),"",MAX(0,A166-E166))</f>
        <v/>
      </c>
      <c r="G166" s="19" t="str">
        <f aca="false">IF($B166="","",IFERROR(INDEX(Loans!$E$6:$E$65,MATCH($B166,Loans!$A$6:$A$65,0)),0)-SUMIFS($K$5:$K165,$B$5:$B165,$B166))</f>
        <v/>
      </c>
      <c r="H166" s="19" t="str">
        <f aca="false">IF(OR($B166="",F166=""),"",ROUND(G166*Start!$B$7*F166/Start!$B$8,2))</f>
        <v/>
      </c>
      <c r="I166" s="19" t="str">
        <f aca="false">IF($B166="","",SUMIFS($H$5:$H165,$B$5:$B165,$B166)-SUMIFS($J$5:$J165,$B$5:$B165,$B166))</f>
        <v/>
      </c>
      <c r="J166" s="19" t="str">
        <f aca="false">IF(OR($B166="",H166=""),"",MIN(C166,H166+I166))</f>
        <v/>
      </c>
      <c r="K166" s="18" t="str">
        <f aca="false">IF(OR($B166="",J166=""),"",MAX(0,MIN(C166-J166,G166)))</f>
        <v/>
      </c>
      <c r="L166" s="18" t="str">
        <f aca="false">IF(OR($B166="",K166=""),"",G166-K166)</f>
        <v/>
      </c>
      <c r="M166" s="19" t="str">
        <f aca="false">IF(OR($B166="",J166=""),"",H166+I166-J166)</f>
        <v/>
      </c>
    </row>
    <row r="167" customFormat="false" ht="15" hidden="false" customHeight="false" outlineLevel="0" collapsed="false">
      <c r="A167" s="14"/>
      <c r="B167" s="5"/>
      <c r="C167" s="9"/>
      <c r="D167" s="24" t="str">
        <f aca="false">IF($B167="","",IFERROR(INDEX(Loans!$D$6:$D$65,MATCH($B167,Loans!$A$6:$A$65,0)),""))</f>
        <v/>
      </c>
      <c r="E167" s="24" t="str">
        <f aca="false">IF($B167="","",IF(COUNTIFS($B$5:$B166,$B167)=0,D167,_xlfn.MAXIFS($A$5:$A166,$B$5:$B166,$B167)))</f>
        <v/>
      </c>
      <c r="F167" s="25" t="str">
        <f aca="false">IF(OR($B167="",A167=""),"",MAX(0,A167-E167))</f>
        <v/>
      </c>
      <c r="G167" s="19" t="str">
        <f aca="false">IF($B167="","",IFERROR(INDEX(Loans!$E$6:$E$65,MATCH($B167,Loans!$A$6:$A$65,0)),0)-SUMIFS($K$5:$K166,$B$5:$B166,$B167))</f>
        <v/>
      </c>
      <c r="H167" s="19" t="str">
        <f aca="false">IF(OR($B167="",F167=""),"",ROUND(G167*Start!$B$7*F167/Start!$B$8,2))</f>
        <v/>
      </c>
      <c r="I167" s="19" t="str">
        <f aca="false">IF($B167="","",SUMIFS($H$5:$H166,$B$5:$B166,$B167)-SUMIFS($J$5:$J166,$B$5:$B166,$B167))</f>
        <v/>
      </c>
      <c r="J167" s="19" t="str">
        <f aca="false">IF(OR($B167="",H167=""),"",MIN(C167,H167+I167))</f>
        <v/>
      </c>
      <c r="K167" s="18" t="str">
        <f aca="false">IF(OR($B167="",J167=""),"",MAX(0,MIN(C167-J167,G167)))</f>
        <v/>
      </c>
      <c r="L167" s="18" t="str">
        <f aca="false">IF(OR($B167="",K167=""),"",G167-K167)</f>
        <v/>
      </c>
      <c r="M167" s="19" t="str">
        <f aca="false">IF(OR($B167="",J167=""),"",H167+I167-J167)</f>
        <v/>
      </c>
    </row>
    <row r="168" customFormat="false" ht="15" hidden="false" customHeight="false" outlineLevel="0" collapsed="false">
      <c r="A168" s="14"/>
      <c r="B168" s="5"/>
      <c r="C168" s="9"/>
      <c r="D168" s="24" t="str">
        <f aca="false">IF($B168="","",IFERROR(INDEX(Loans!$D$6:$D$65,MATCH($B168,Loans!$A$6:$A$65,0)),""))</f>
        <v/>
      </c>
      <c r="E168" s="24" t="str">
        <f aca="false">IF($B168="","",IF(COUNTIFS($B$5:$B167,$B168)=0,D168,_xlfn.MAXIFS($A$5:$A167,$B$5:$B167,$B168)))</f>
        <v/>
      </c>
      <c r="F168" s="25" t="str">
        <f aca="false">IF(OR($B168="",A168=""),"",MAX(0,A168-E168))</f>
        <v/>
      </c>
      <c r="G168" s="19" t="str">
        <f aca="false">IF($B168="","",IFERROR(INDEX(Loans!$E$6:$E$65,MATCH($B168,Loans!$A$6:$A$65,0)),0)-SUMIFS($K$5:$K167,$B$5:$B167,$B168))</f>
        <v/>
      </c>
      <c r="H168" s="19" t="str">
        <f aca="false">IF(OR($B168="",F168=""),"",ROUND(G168*Start!$B$7*F168/Start!$B$8,2))</f>
        <v/>
      </c>
      <c r="I168" s="19" t="str">
        <f aca="false">IF($B168="","",SUMIFS($H$5:$H167,$B$5:$B167,$B168)-SUMIFS($J$5:$J167,$B$5:$B167,$B168))</f>
        <v/>
      </c>
      <c r="J168" s="19" t="str">
        <f aca="false">IF(OR($B168="",H168=""),"",MIN(C168,H168+I168))</f>
        <v/>
      </c>
      <c r="K168" s="18" t="str">
        <f aca="false">IF(OR($B168="",J168=""),"",MAX(0,MIN(C168-J168,G168)))</f>
        <v/>
      </c>
      <c r="L168" s="18" t="str">
        <f aca="false">IF(OR($B168="",K168=""),"",G168-K168)</f>
        <v/>
      </c>
      <c r="M168" s="19" t="str">
        <f aca="false">IF(OR($B168="",J168=""),"",H168+I168-J168)</f>
        <v/>
      </c>
    </row>
    <row r="169" customFormat="false" ht="15" hidden="false" customHeight="false" outlineLevel="0" collapsed="false">
      <c r="A169" s="14"/>
      <c r="B169" s="5"/>
      <c r="C169" s="9"/>
      <c r="D169" s="24" t="str">
        <f aca="false">IF($B169="","",IFERROR(INDEX(Loans!$D$6:$D$65,MATCH($B169,Loans!$A$6:$A$65,0)),""))</f>
        <v/>
      </c>
      <c r="E169" s="24" t="str">
        <f aca="false">IF($B169="","",IF(COUNTIFS($B$5:$B168,$B169)=0,D169,_xlfn.MAXIFS($A$5:$A168,$B$5:$B168,$B169)))</f>
        <v/>
      </c>
      <c r="F169" s="25" t="str">
        <f aca="false">IF(OR($B169="",A169=""),"",MAX(0,A169-E169))</f>
        <v/>
      </c>
      <c r="G169" s="19" t="str">
        <f aca="false">IF($B169="","",IFERROR(INDEX(Loans!$E$6:$E$65,MATCH($B169,Loans!$A$6:$A$65,0)),0)-SUMIFS($K$5:$K168,$B$5:$B168,$B169))</f>
        <v/>
      </c>
      <c r="H169" s="19" t="str">
        <f aca="false">IF(OR($B169="",F169=""),"",ROUND(G169*Start!$B$7*F169/Start!$B$8,2))</f>
        <v/>
      </c>
      <c r="I169" s="19" t="str">
        <f aca="false">IF($B169="","",SUMIFS($H$5:$H168,$B$5:$B168,$B169)-SUMIFS($J$5:$J168,$B$5:$B168,$B169))</f>
        <v/>
      </c>
      <c r="J169" s="19" t="str">
        <f aca="false">IF(OR($B169="",H169=""),"",MIN(C169,H169+I169))</f>
        <v/>
      </c>
      <c r="K169" s="18" t="str">
        <f aca="false">IF(OR($B169="",J169=""),"",MAX(0,MIN(C169-J169,G169)))</f>
        <v/>
      </c>
      <c r="L169" s="18" t="str">
        <f aca="false">IF(OR($B169="",K169=""),"",G169-K169)</f>
        <v/>
      </c>
      <c r="M169" s="19" t="str">
        <f aca="false">IF(OR($B169="",J169=""),"",H169+I169-J169)</f>
        <v/>
      </c>
    </row>
    <row r="170" customFormat="false" ht="15" hidden="false" customHeight="false" outlineLevel="0" collapsed="false">
      <c r="A170" s="14"/>
      <c r="B170" s="5"/>
      <c r="C170" s="9"/>
      <c r="D170" s="24" t="str">
        <f aca="false">IF($B170="","",IFERROR(INDEX(Loans!$D$6:$D$65,MATCH($B170,Loans!$A$6:$A$65,0)),""))</f>
        <v/>
      </c>
      <c r="E170" s="24" t="str">
        <f aca="false">IF($B170="","",IF(COUNTIFS($B$5:$B169,$B170)=0,D170,_xlfn.MAXIFS($A$5:$A169,$B$5:$B169,$B170)))</f>
        <v/>
      </c>
      <c r="F170" s="25" t="str">
        <f aca="false">IF(OR($B170="",A170=""),"",MAX(0,A170-E170))</f>
        <v/>
      </c>
      <c r="G170" s="19" t="str">
        <f aca="false">IF($B170="","",IFERROR(INDEX(Loans!$E$6:$E$65,MATCH($B170,Loans!$A$6:$A$65,0)),0)-SUMIFS($K$5:$K169,$B$5:$B169,$B170))</f>
        <v/>
      </c>
      <c r="H170" s="19" t="str">
        <f aca="false">IF(OR($B170="",F170=""),"",ROUND(G170*Start!$B$7*F170/Start!$B$8,2))</f>
        <v/>
      </c>
      <c r="I170" s="19" t="str">
        <f aca="false">IF($B170="","",SUMIFS($H$5:$H169,$B$5:$B169,$B170)-SUMIFS($J$5:$J169,$B$5:$B169,$B170))</f>
        <v/>
      </c>
      <c r="J170" s="19" t="str">
        <f aca="false">IF(OR($B170="",H170=""),"",MIN(C170,H170+I170))</f>
        <v/>
      </c>
      <c r="K170" s="18" t="str">
        <f aca="false">IF(OR($B170="",J170=""),"",MAX(0,MIN(C170-J170,G170)))</f>
        <v/>
      </c>
      <c r="L170" s="18" t="str">
        <f aca="false">IF(OR($B170="",K170=""),"",G170-K170)</f>
        <v/>
      </c>
      <c r="M170" s="19" t="str">
        <f aca="false">IF(OR($B170="",J170=""),"",H170+I170-J170)</f>
        <v/>
      </c>
    </row>
    <row r="171" customFormat="false" ht="15" hidden="false" customHeight="false" outlineLevel="0" collapsed="false">
      <c r="A171" s="14"/>
      <c r="B171" s="5"/>
      <c r="C171" s="9"/>
      <c r="D171" s="24" t="str">
        <f aca="false">IF($B171="","",IFERROR(INDEX(Loans!$D$6:$D$65,MATCH($B171,Loans!$A$6:$A$65,0)),""))</f>
        <v/>
      </c>
      <c r="E171" s="24" t="str">
        <f aca="false">IF($B171="","",IF(COUNTIFS($B$5:$B170,$B171)=0,D171,_xlfn.MAXIFS($A$5:$A170,$B$5:$B170,$B171)))</f>
        <v/>
      </c>
      <c r="F171" s="25" t="str">
        <f aca="false">IF(OR($B171="",A171=""),"",MAX(0,A171-E171))</f>
        <v/>
      </c>
      <c r="G171" s="19" t="str">
        <f aca="false">IF($B171="","",IFERROR(INDEX(Loans!$E$6:$E$65,MATCH($B171,Loans!$A$6:$A$65,0)),0)-SUMIFS($K$5:$K170,$B$5:$B170,$B171))</f>
        <v/>
      </c>
      <c r="H171" s="19" t="str">
        <f aca="false">IF(OR($B171="",F171=""),"",ROUND(G171*Start!$B$7*F171/Start!$B$8,2))</f>
        <v/>
      </c>
      <c r="I171" s="19" t="str">
        <f aca="false">IF($B171="","",SUMIFS($H$5:$H170,$B$5:$B170,$B171)-SUMIFS($J$5:$J170,$B$5:$B170,$B171))</f>
        <v/>
      </c>
      <c r="J171" s="19" t="str">
        <f aca="false">IF(OR($B171="",H171=""),"",MIN(C171,H171+I171))</f>
        <v/>
      </c>
      <c r="K171" s="18" t="str">
        <f aca="false">IF(OR($B171="",J171=""),"",MAX(0,MIN(C171-J171,G171)))</f>
        <v/>
      </c>
      <c r="L171" s="18" t="str">
        <f aca="false">IF(OR($B171="",K171=""),"",G171-K171)</f>
        <v/>
      </c>
      <c r="M171" s="19" t="str">
        <f aca="false">IF(OR($B171="",J171=""),"",H171+I171-J171)</f>
        <v/>
      </c>
    </row>
    <row r="172" customFormat="false" ht="15" hidden="false" customHeight="false" outlineLevel="0" collapsed="false">
      <c r="A172" s="14"/>
      <c r="B172" s="5"/>
      <c r="C172" s="9"/>
      <c r="D172" s="24" t="str">
        <f aca="false">IF($B172="","",IFERROR(INDEX(Loans!$D$6:$D$65,MATCH($B172,Loans!$A$6:$A$65,0)),""))</f>
        <v/>
      </c>
      <c r="E172" s="24" t="str">
        <f aca="false">IF($B172="","",IF(COUNTIFS($B$5:$B171,$B172)=0,D172,_xlfn.MAXIFS($A$5:$A171,$B$5:$B171,$B172)))</f>
        <v/>
      </c>
      <c r="F172" s="25" t="str">
        <f aca="false">IF(OR($B172="",A172=""),"",MAX(0,A172-E172))</f>
        <v/>
      </c>
      <c r="G172" s="19" t="str">
        <f aca="false">IF($B172="","",IFERROR(INDEX(Loans!$E$6:$E$65,MATCH($B172,Loans!$A$6:$A$65,0)),0)-SUMIFS($K$5:$K171,$B$5:$B171,$B172))</f>
        <v/>
      </c>
      <c r="H172" s="19" t="str">
        <f aca="false">IF(OR($B172="",F172=""),"",ROUND(G172*Start!$B$7*F172/Start!$B$8,2))</f>
        <v/>
      </c>
      <c r="I172" s="19" t="str">
        <f aca="false">IF($B172="","",SUMIFS($H$5:$H171,$B$5:$B171,$B172)-SUMIFS($J$5:$J171,$B$5:$B171,$B172))</f>
        <v/>
      </c>
      <c r="J172" s="19" t="str">
        <f aca="false">IF(OR($B172="",H172=""),"",MIN(C172,H172+I172))</f>
        <v/>
      </c>
      <c r="K172" s="18" t="str">
        <f aca="false">IF(OR($B172="",J172=""),"",MAX(0,MIN(C172-J172,G172)))</f>
        <v/>
      </c>
      <c r="L172" s="18" t="str">
        <f aca="false">IF(OR($B172="",K172=""),"",G172-K172)</f>
        <v/>
      </c>
      <c r="M172" s="19" t="str">
        <f aca="false">IF(OR($B172="",J172=""),"",H172+I172-J172)</f>
        <v/>
      </c>
    </row>
    <row r="173" customFormat="false" ht="15" hidden="false" customHeight="false" outlineLevel="0" collapsed="false">
      <c r="A173" s="14"/>
      <c r="B173" s="5"/>
      <c r="C173" s="9"/>
      <c r="D173" s="24" t="str">
        <f aca="false">IF($B173="","",IFERROR(INDEX(Loans!$D$6:$D$65,MATCH($B173,Loans!$A$6:$A$65,0)),""))</f>
        <v/>
      </c>
      <c r="E173" s="24" t="str">
        <f aca="false">IF($B173="","",IF(COUNTIFS($B$5:$B172,$B173)=0,D173,_xlfn.MAXIFS($A$5:$A172,$B$5:$B172,$B173)))</f>
        <v/>
      </c>
      <c r="F173" s="25" t="str">
        <f aca="false">IF(OR($B173="",A173=""),"",MAX(0,A173-E173))</f>
        <v/>
      </c>
      <c r="G173" s="19" t="str">
        <f aca="false">IF($B173="","",IFERROR(INDEX(Loans!$E$6:$E$65,MATCH($B173,Loans!$A$6:$A$65,0)),0)-SUMIFS($K$5:$K172,$B$5:$B172,$B173))</f>
        <v/>
      </c>
      <c r="H173" s="19" t="str">
        <f aca="false">IF(OR($B173="",F173=""),"",ROUND(G173*Start!$B$7*F173/Start!$B$8,2))</f>
        <v/>
      </c>
      <c r="I173" s="19" t="str">
        <f aca="false">IF($B173="","",SUMIFS($H$5:$H172,$B$5:$B172,$B173)-SUMIFS($J$5:$J172,$B$5:$B172,$B173))</f>
        <v/>
      </c>
      <c r="J173" s="19" t="str">
        <f aca="false">IF(OR($B173="",H173=""),"",MIN(C173,H173+I173))</f>
        <v/>
      </c>
      <c r="K173" s="18" t="str">
        <f aca="false">IF(OR($B173="",J173=""),"",MAX(0,MIN(C173-J173,G173)))</f>
        <v/>
      </c>
      <c r="L173" s="18" t="str">
        <f aca="false">IF(OR($B173="",K173=""),"",G173-K173)</f>
        <v/>
      </c>
      <c r="M173" s="19" t="str">
        <f aca="false">IF(OR($B173="",J173=""),"",H173+I173-J173)</f>
        <v/>
      </c>
    </row>
    <row r="174" customFormat="false" ht="15" hidden="false" customHeight="false" outlineLevel="0" collapsed="false">
      <c r="A174" s="14"/>
      <c r="B174" s="5"/>
      <c r="C174" s="9"/>
      <c r="D174" s="24" t="str">
        <f aca="false">IF($B174="","",IFERROR(INDEX(Loans!$D$6:$D$65,MATCH($B174,Loans!$A$6:$A$65,0)),""))</f>
        <v/>
      </c>
      <c r="E174" s="24" t="str">
        <f aca="false">IF($B174="","",IF(COUNTIFS($B$5:$B173,$B174)=0,D174,_xlfn.MAXIFS($A$5:$A173,$B$5:$B173,$B174)))</f>
        <v/>
      </c>
      <c r="F174" s="25" t="str">
        <f aca="false">IF(OR($B174="",A174=""),"",MAX(0,A174-E174))</f>
        <v/>
      </c>
      <c r="G174" s="19" t="str">
        <f aca="false">IF($B174="","",IFERROR(INDEX(Loans!$E$6:$E$65,MATCH($B174,Loans!$A$6:$A$65,0)),0)-SUMIFS($K$5:$K173,$B$5:$B173,$B174))</f>
        <v/>
      </c>
      <c r="H174" s="19" t="str">
        <f aca="false">IF(OR($B174="",F174=""),"",ROUND(G174*Start!$B$7*F174/Start!$B$8,2))</f>
        <v/>
      </c>
      <c r="I174" s="19" t="str">
        <f aca="false">IF($B174="","",SUMIFS($H$5:$H173,$B$5:$B173,$B174)-SUMIFS($J$5:$J173,$B$5:$B173,$B174))</f>
        <v/>
      </c>
      <c r="J174" s="19" t="str">
        <f aca="false">IF(OR($B174="",H174=""),"",MIN(C174,H174+I174))</f>
        <v/>
      </c>
      <c r="K174" s="18" t="str">
        <f aca="false">IF(OR($B174="",J174=""),"",MAX(0,MIN(C174-J174,G174)))</f>
        <v/>
      </c>
      <c r="L174" s="18" t="str">
        <f aca="false">IF(OR($B174="",K174=""),"",G174-K174)</f>
        <v/>
      </c>
      <c r="M174" s="19" t="str">
        <f aca="false">IF(OR($B174="",J174=""),"",H174+I174-J174)</f>
        <v/>
      </c>
    </row>
    <row r="175" customFormat="false" ht="15" hidden="false" customHeight="false" outlineLevel="0" collapsed="false">
      <c r="A175" s="14"/>
      <c r="B175" s="5"/>
      <c r="C175" s="9"/>
      <c r="D175" s="24" t="str">
        <f aca="false">IF($B175="","",IFERROR(INDEX(Loans!$D$6:$D$65,MATCH($B175,Loans!$A$6:$A$65,0)),""))</f>
        <v/>
      </c>
      <c r="E175" s="24" t="str">
        <f aca="false">IF($B175="","",IF(COUNTIFS($B$5:$B174,$B175)=0,D175,_xlfn.MAXIFS($A$5:$A174,$B$5:$B174,$B175)))</f>
        <v/>
      </c>
      <c r="F175" s="25" t="str">
        <f aca="false">IF(OR($B175="",A175=""),"",MAX(0,A175-E175))</f>
        <v/>
      </c>
      <c r="G175" s="19" t="str">
        <f aca="false">IF($B175="","",IFERROR(INDEX(Loans!$E$6:$E$65,MATCH($B175,Loans!$A$6:$A$65,0)),0)-SUMIFS($K$5:$K174,$B$5:$B174,$B175))</f>
        <v/>
      </c>
      <c r="H175" s="19" t="str">
        <f aca="false">IF(OR($B175="",F175=""),"",ROUND(G175*Start!$B$7*F175/Start!$B$8,2))</f>
        <v/>
      </c>
      <c r="I175" s="19" t="str">
        <f aca="false">IF($B175="","",SUMIFS($H$5:$H174,$B$5:$B174,$B175)-SUMIFS($J$5:$J174,$B$5:$B174,$B175))</f>
        <v/>
      </c>
      <c r="J175" s="19" t="str">
        <f aca="false">IF(OR($B175="",H175=""),"",MIN(C175,H175+I175))</f>
        <v/>
      </c>
      <c r="K175" s="18" t="str">
        <f aca="false">IF(OR($B175="",J175=""),"",MAX(0,MIN(C175-J175,G175)))</f>
        <v/>
      </c>
      <c r="L175" s="18" t="str">
        <f aca="false">IF(OR($B175="",K175=""),"",G175-K175)</f>
        <v/>
      </c>
      <c r="M175" s="19" t="str">
        <f aca="false">IF(OR($B175="",J175=""),"",H175+I175-J175)</f>
        <v/>
      </c>
    </row>
    <row r="176" customFormat="false" ht="15" hidden="false" customHeight="false" outlineLevel="0" collapsed="false">
      <c r="A176" s="14"/>
      <c r="B176" s="5"/>
      <c r="C176" s="9"/>
      <c r="D176" s="24" t="str">
        <f aca="false">IF($B176="","",IFERROR(INDEX(Loans!$D$6:$D$65,MATCH($B176,Loans!$A$6:$A$65,0)),""))</f>
        <v/>
      </c>
      <c r="E176" s="24" t="str">
        <f aca="false">IF($B176="","",IF(COUNTIFS($B$5:$B175,$B176)=0,D176,_xlfn.MAXIFS($A$5:$A175,$B$5:$B175,$B176)))</f>
        <v/>
      </c>
      <c r="F176" s="25" t="str">
        <f aca="false">IF(OR($B176="",A176=""),"",MAX(0,A176-E176))</f>
        <v/>
      </c>
      <c r="G176" s="19" t="str">
        <f aca="false">IF($B176="","",IFERROR(INDEX(Loans!$E$6:$E$65,MATCH($B176,Loans!$A$6:$A$65,0)),0)-SUMIFS($K$5:$K175,$B$5:$B175,$B176))</f>
        <v/>
      </c>
      <c r="H176" s="19" t="str">
        <f aca="false">IF(OR($B176="",F176=""),"",ROUND(G176*Start!$B$7*F176/Start!$B$8,2))</f>
        <v/>
      </c>
      <c r="I176" s="19" t="str">
        <f aca="false">IF($B176="","",SUMIFS($H$5:$H175,$B$5:$B175,$B176)-SUMIFS($J$5:$J175,$B$5:$B175,$B176))</f>
        <v/>
      </c>
      <c r="J176" s="19" t="str">
        <f aca="false">IF(OR($B176="",H176=""),"",MIN(C176,H176+I176))</f>
        <v/>
      </c>
      <c r="K176" s="18" t="str">
        <f aca="false">IF(OR($B176="",J176=""),"",MAX(0,MIN(C176-J176,G176)))</f>
        <v/>
      </c>
      <c r="L176" s="18" t="str">
        <f aca="false">IF(OR($B176="",K176=""),"",G176-K176)</f>
        <v/>
      </c>
      <c r="M176" s="19" t="str">
        <f aca="false">IF(OR($B176="",J176=""),"",H176+I176-J176)</f>
        <v/>
      </c>
    </row>
    <row r="177" customFormat="false" ht="15" hidden="false" customHeight="false" outlineLevel="0" collapsed="false">
      <c r="A177" s="14"/>
      <c r="B177" s="5"/>
      <c r="C177" s="9"/>
      <c r="D177" s="24" t="str">
        <f aca="false">IF($B177="","",IFERROR(INDEX(Loans!$D$6:$D$65,MATCH($B177,Loans!$A$6:$A$65,0)),""))</f>
        <v/>
      </c>
      <c r="E177" s="24" t="str">
        <f aca="false">IF($B177="","",IF(COUNTIFS($B$5:$B176,$B177)=0,D177,_xlfn.MAXIFS($A$5:$A176,$B$5:$B176,$B177)))</f>
        <v/>
      </c>
      <c r="F177" s="25" t="str">
        <f aca="false">IF(OR($B177="",A177=""),"",MAX(0,A177-E177))</f>
        <v/>
      </c>
      <c r="G177" s="19" t="str">
        <f aca="false">IF($B177="","",IFERROR(INDEX(Loans!$E$6:$E$65,MATCH($B177,Loans!$A$6:$A$65,0)),0)-SUMIFS($K$5:$K176,$B$5:$B176,$B177))</f>
        <v/>
      </c>
      <c r="H177" s="19" t="str">
        <f aca="false">IF(OR($B177="",F177=""),"",ROUND(G177*Start!$B$7*F177/Start!$B$8,2))</f>
        <v/>
      </c>
      <c r="I177" s="19" t="str">
        <f aca="false">IF($B177="","",SUMIFS($H$5:$H176,$B$5:$B176,$B177)-SUMIFS($J$5:$J176,$B$5:$B176,$B177))</f>
        <v/>
      </c>
      <c r="J177" s="19" t="str">
        <f aca="false">IF(OR($B177="",H177=""),"",MIN(C177,H177+I177))</f>
        <v/>
      </c>
      <c r="K177" s="18" t="str">
        <f aca="false">IF(OR($B177="",J177=""),"",MAX(0,MIN(C177-J177,G177)))</f>
        <v/>
      </c>
      <c r="L177" s="18" t="str">
        <f aca="false">IF(OR($B177="",K177=""),"",G177-K177)</f>
        <v/>
      </c>
      <c r="M177" s="19" t="str">
        <f aca="false">IF(OR($B177="",J177=""),"",H177+I177-J177)</f>
        <v/>
      </c>
    </row>
    <row r="178" customFormat="false" ht="15" hidden="false" customHeight="false" outlineLevel="0" collapsed="false">
      <c r="A178" s="14"/>
      <c r="B178" s="5"/>
      <c r="C178" s="9"/>
      <c r="D178" s="24" t="str">
        <f aca="false">IF($B178="","",IFERROR(INDEX(Loans!$D$6:$D$65,MATCH($B178,Loans!$A$6:$A$65,0)),""))</f>
        <v/>
      </c>
      <c r="E178" s="24" t="str">
        <f aca="false">IF($B178="","",IF(COUNTIFS($B$5:$B177,$B178)=0,D178,_xlfn.MAXIFS($A$5:$A177,$B$5:$B177,$B178)))</f>
        <v/>
      </c>
      <c r="F178" s="25" t="str">
        <f aca="false">IF(OR($B178="",A178=""),"",MAX(0,A178-E178))</f>
        <v/>
      </c>
      <c r="G178" s="19" t="str">
        <f aca="false">IF($B178="","",IFERROR(INDEX(Loans!$E$6:$E$65,MATCH($B178,Loans!$A$6:$A$65,0)),0)-SUMIFS($K$5:$K177,$B$5:$B177,$B178))</f>
        <v/>
      </c>
      <c r="H178" s="19" t="str">
        <f aca="false">IF(OR($B178="",F178=""),"",ROUND(G178*Start!$B$7*F178/Start!$B$8,2))</f>
        <v/>
      </c>
      <c r="I178" s="19" t="str">
        <f aca="false">IF($B178="","",SUMIFS($H$5:$H177,$B$5:$B177,$B178)-SUMIFS($J$5:$J177,$B$5:$B177,$B178))</f>
        <v/>
      </c>
      <c r="J178" s="19" t="str">
        <f aca="false">IF(OR($B178="",H178=""),"",MIN(C178,H178+I178))</f>
        <v/>
      </c>
      <c r="K178" s="18" t="str">
        <f aca="false">IF(OR($B178="",J178=""),"",MAX(0,MIN(C178-J178,G178)))</f>
        <v/>
      </c>
      <c r="L178" s="18" t="str">
        <f aca="false">IF(OR($B178="",K178=""),"",G178-K178)</f>
        <v/>
      </c>
      <c r="M178" s="19" t="str">
        <f aca="false">IF(OR($B178="",J178=""),"",H178+I178-J178)</f>
        <v/>
      </c>
    </row>
    <row r="179" customFormat="false" ht="15" hidden="false" customHeight="false" outlineLevel="0" collapsed="false">
      <c r="A179" s="14"/>
      <c r="B179" s="5"/>
      <c r="C179" s="9"/>
      <c r="D179" s="24" t="str">
        <f aca="false">IF($B179="","",IFERROR(INDEX(Loans!$D$6:$D$65,MATCH($B179,Loans!$A$6:$A$65,0)),""))</f>
        <v/>
      </c>
      <c r="E179" s="24" t="str">
        <f aca="false">IF($B179="","",IF(COUNTIFS($B$5:$B178,$B179)=0,D179,_xlfn.MAXIFS($A$5:$A178,$B$5:$B178,$B179)))</f>
        <v/>
      </c>
      <c r="F179" s="25" t="str">
        <f aca="false">IF(OR($B179="",A179=""),"",MAX(0,A179-E179))</f>
        <v/>
      </c>
      <c r="G179" s="19" t="str">
        <f aca="false">IF($B179="","",IFERROR(INDEX(Loans!$E$6:$E$65,MATCH($B179,Loans!$A$6:$A$65,0)),0)-SUMIFS($K$5:$K178,$B$5:$B178,$B179))</f>
        <v/>
      </c>
      <c r="H179" s="19" t="str">
        <f aca="false">IF(OR($B179="",F179=""),"",ROUND(G179*Start!$B$7*F179/Start!$B$8,2))</f>
        <v/>
      </c>
      <c r="I179" s="19" t="str">
        <f aca="false">IF($B179="","",SUMIFS($H$5:$H178,$B$5:$B178,$B179)-SUMIFS($J$5:$J178,$B$5:$B178,$B179))</f>
        <v/>
      </c>
      <c r="J179" s="19" t="str">
        <f aca="false">IF(OR($B179="",H179=""),"",MIN(C179,H179+I179))</f>
        <v/>
      </c>
      <c r="K179" s="18" t="str">
        <f aca="false">IF(OR($B179="",J179=""),"",MAX(0,MIN(C179-J179,G179)))</f>
        <v/>
      </c>
      <c r="L179" s="18" t="str">
        <f aca="false">IF(OR($B179="",K179=""),"",G179-K179)</f>
        <v/>
      </c>
      <c r="M179" s="19" t="str">
        <f aca="false">IF(OR($B179="",J179=""),"",H179+I179-J179)</f>
        <v/>
      </c>
    </row>
    <row r="180" customFormat="false" ht="15" hidden="false" customHeight="false" outlineLevel="0" collapsed="false">
      <c r="A180" s="14"/>
      <c r="B180" s="5"/>
      <c r="C180" s="9"/>
      <c r="D180" s="24" t="str">
        <f aca="false">IF($B180="","",IFERROR(INDEX(Loans!$D$6:$D$65,MATCH($B180,Loans!$A$6:$A$65,0)),""))</f>
        <v/>
      </c>
      <c r="E180" s="24" t="str">
        <f aca="false">IF($B180="","",IF(COUNTIFS($B$5:$B179,$B180)=0,D180,_xlfn.MAXIFS($A$5:$A179,$B$5:$B179,$B180)))</f>
        <v/>
      </c>
      <c r="F180" s="25" t="str">
        <f aca="false">IF(OR($B180="",A180=""),"",MAX(0,A180-E180))</f>
        <v/>
      </c>
      <c r="G180" s="19" t="str">
        <f aca="false">IF($B180="","",IFERROR(INDEX(Loans!$E$6:$E$65,MATCH($B180,Loans!$A$6:$A$65,0)),0)-SUMIFS($K$5:$K179,$B$5:$B179,$B180))</f>
        <v/>
      </c>
      <c r="H180" s="19" t="str">
        <f aca="false">IF(OR($B180="",F180=""),"",ROUND(G180*Start!$B$7*F180/Start!$B$8,2))</f>
        <v/>
      </c>
      <c r="I180" s="19" t="str">
        <f aca="false">IF($B180="","",SUMIFS($H$5:$H179,$B$5:$B179,$B180)-SUMIFS($J$5:$J179,$B$5:$B179,$B180))</f>
        <v/>
      </c>
      <c r="J180" s="19" t="str">
        <f aca="false">IF(OR($B180="",H180=""),"",MIN(C180,H180+I180))</f>
        <v/>
      </c>
      <c r="K180" s="18" t="str">
        <f aca="false">IF(OR($B180="",J180=""),"",MAX(0,MIN(C180-J180,G180)))</f>
        <v/>
      </c>
      <c r="L180" s="18" t="str">
        <f aca="false">IF(OR($B180="",K180=""),"",G180-K180)</f>
        <v/>
      </c>
      <c r="M180" s="19" t="str">
        <f aca="false">IF(OR($B180="",J180=""),"",H180+I180-J180)</f>
        <v/>
      </c>
    </row>
    <row r="181" customFormat="false" ht="15" hidden="false" customHeight="false" outlineLevel="0" collapsed="false">
      <c r="A181" s="14"/>
      <c r="B181" s="5"/>
      <c r="C181" s="9"/>
      <c r="D181" s="24" t="str">
        <f aca="false">IF($B181="","",IFERROR(INDEX(Loans!$D$6:$D$65,MATCH($B181,Loans!$A$6:$A$65,0)),""))</f>
        <v/>
      </c>
      <c r="E181" s="24" t="str">
        <f aca="false">IF($B181="","",IF(COUNTIFS($B$5:$B180,$B181)=0,D181,_xlfn.MAXIFS($A$5:$A180,$B$5:$B180,$B181)))</f>
        <v/>
      </c>
      <c r="F181" s="25" t="str">
        <f aca="false">IF(OR($B181="",A181=""),"",MAX(0,A181-E181))</f>
        <v/>
      </c>
      <c r="G181" s="19" t="str">
        <f aca="false">IF($B181="","",IFERROR(INDEX(Loans!$E$6:$E$65,MATCH($B181,Loans!$A$6:$A$65,0)),0)-SUMIFS($K$5:$K180,$B$5:$B180,$B181))</f>
        <v/>
      </c>
      <c r="H181" s="19" t="str">
        <f aca="false">IF(OR($B181="",F181=""),"",ROUND(G181*Start!$B$7*F181/Start!$B$8,2))</f>
        <v/>
      </c>
      <c r="I181" s="19" t="str">
        <f aca="false">IF($B181="","",SUMIFS($H$5:$H180,$B$5:$B180,$B181)-SUMIFS($J$5:$J180,$B$5:$B180,$B181))</f>
        <v/>
      </c>
      <c r="J181" s="19" t="str">
        <f aca="false">IF(OR($B181="",H181=""),"",MIN(C181,H181+I181))</f>
        <v/>
      </c>
      <c r="K181" s="18" t="str">
        <f aca="false">IF(OR($B181="",J181=""),"",MAX(0,MIN(C181-J181,G181)))</f>
        <v/>
      </c>
      <c r="L181" s="18" t="str">
        <f aca="false">IF(OR($B181="",K181=""),"",G181-K181)</f>
        <v/>
      </c>
      <c r="M181" s="19" t="str">
        <f aca="false">IF(OR($B181="",J181=""),"",H181+I181-J181)</f>
        <v/>
      </c>
    </row>
    <row r="182" customFormat="false" ht="15" hidden="false" customHeight="false" outlineLevel="0" collapsed="false">
      <c r="A182" s="14"/>
      <c r="B182" s="5"/>
      <c r="C182" s="9"/>
      <c r="D182" s="24" t="str">
        <f aca="false">IF($B182="","",IFERROR(INDEX(Loans!$D$6:$D$65,MATCH($B182,Loans!$A$6:$A$65,0)),""))</f>
        <v/>
      </c>
      <c r="E182" s="24" t="str">
        <f aca="false">IF($B182="","",IF(COUNTIFS($B$5:$B181,$B182)=0,D182,_xlfn.MAXIFS($A$5:$A181,$B$5:$B181,$B182)))</f>
        <v/>
      </c>
      <c r="F182" s="25" t="str">
        <f aca="false">IF(OR($B182="",A182=""),"",MAX(0,A182-E182))</f>
        <v/>
      </c>
      <c r="G182" s="19" t="str">
        <f aca="false">IF($B182="","",IFERROR(INDEX(Loans!$E$6:$E$65,MATCH($B182,Loans!$A$6:$A$65,0)),0)-SUMIFS($K$5:$K181,$B$5:$B181,$B182))</f>
        <v/>
      </c>
      <c r="H182" s="19" t="str">
        <f aca="false">IF(OR($B182="",F182=""),"",ROUND(G182*Start!$B$7*F182/Start!$B$8,2))</f>
        <v/>
      </c>
      <c r="I182" s="19" t="str">
        <f aca="false">IF($B182="","",SUMIFS($H$5:$H181,$B$5:$B181,$B182)-SUMIFS($J$5:$J181,$B$5:$B181,$B182))</f>
        <v/>
      </c>
      <c r="J182" s="19" t="str">
        <f aca="false">IF(OR($B182="",H182=""),"",MIN(C182,H182+I182))</f>
        <v/>
      </c>
      <c r="K182" s="18" t="str">
        <f aca="false">IF(OR($B182="",J182=""),"",MAX(0,MIN(C182-J182,G182)))</f>
        <v/>
      </c>
      <c r="L182" s="18" t="str">
        <f aca="false">IF(OR($B182="",K182=""),"",G182-K182)</f>
        <v/>
      </c>
      <c r="M182" s="19" t="str">
        <f aca="false">IF(OR($B182="",J182=""),"",H182+I182-J182)</f>
        <v/>
      </c>
    </row>
    <row r="183" customFormat="false" ht="15" hidden="false" customHeight="false" outlineLevel="0" collapsed="false">
      <c r="A183" s="14"/>
      <c r="B183" s="5"/>
      <c r="C183" s="9"/>
      <c r="D183" s="24" t="str">
        <f aca="false">IF($B183="","",IFERROR(INDEX(Loans!$D$6:$D$65,MATCH($B183,Loans!$A$6:$A$65,0)),""))</f>
        <v/>
      </c>
      <c r="E183" s="24" t="str">
        <f aca="false">IF($B183="","",IF(COUNTIFS($B$5:$B182,$B183)=0,D183,_xlfn.MAXIFS($A$5:$A182,$B$5:$B182,$B183)))</f>
        <v/>
      </c>
      <c r="F183" s="25" t="str">
        <f aca="false">IF(OR($B183="",A183=""),"",MAX(0,A183-E183))</f>
        <v/>
      </c>
      <c r="G183" s="19" t="str">
        <f aca="false">IF($B183="","",IFERROR(INDEX(Loans!$E$6:$E$65,MATCH($B183,Loans!$A$6:$A$65,0)),0)-SUMIFS($K$5:$K182,$B$5:$B182,$B183))</f>
        <v/>
      </c>
      <c r="H183" s="19" t="str">
        <f aca="false">IF(OR($B183="",F183=""),"",ROUND(G183*Start!$B$7*F183/Start!$B$8,2))</f>
        <v/>
      </c>
      <c r="I183" s="19" t="str">
        <f aca="false">IF($B183="","",SUMIFS($H$5:$H182,$B$5:$B182,$B183)-SUMIFS($J$5:$J182,$B$5:$B182,$B183))</f>
        <v/>
      </c>
      <c r="J183" s="19" t="str">
        <f aca="false">IF(OR($B183="",H183=""),"",MIN(C183,H183+I183))</f>
        <v/>
      </c>
      <c r="K183" s="18" t="str">
        <f aca="false">IF(OR($B183="",J183=""),"",MAX(0,MIN(C183-J183,G183)))</f>
        <v/>
      </c>
      <c r="L183" s="18" t="str">
        <f aca="false">IF(OR($B183="",K183=""),"",G183-K183)</f>
        <v/>
      </c>
      <c r="M183" s="19" t="str">
        <f aca="false">IF(OR($B183="",J183=""),"",H183+I183-J183)</f>
        <v/>
      </c>
    </row>
    <row r="184" customFormat="false" ht="15" hidden="false" customHeight="false" outlineLevel="0" collapsed="false">
      <c r="A184" s="14"/>
      <c r="B184" s="5"/>
      <c r="C184" s="9"/>
      <c r="D184" s="24" t="str">
        <f aca="false">IF($B184="","",IFERROR(INDEX(Loans!$D$6:$D$65,MATCH($B184,Loans!$A$6:$A$65,0)),""))</f>
        <v/>
      </c>
      <c r="E184" s="24" t="str">
        <f aca="false">IF($B184="","",IF(COUNTIFS($B$5:$B183,$B184)=0,D184,_xlfn.MAXIFS($A$5:$A183,$B$5:$B183,$B184)))</f>
        <v/>
      </c>
      <c r="F184" s="25" t="str">
        <f aca="false">IF(OR($B184="",A184=""),"",MAX(0,A184-E184))</f>
        <v/>
      </c>
      <c r="G184" s="19" t="str">
        <f aca="false">IF($B184="","",IFERROR(INDEX(Loans!$E$6:$E$65,MATCH($B184,Loans!$A$6:$A$65,0)),0)-SUMIFS($K$5:$K183,$B$5:$B183,$B184))</f>
        <v/>
      </c>
      <c r="H184" s="19" t="str">
        <f aca="false">IF(OR($B184="",F184=""),"",ROUND(G184*Start!$B$7*F184/Start!$B$8,2))</f>
        <v/>
      </c>
      <c r="I184" s="19" t="str">
        <f aca="false">IF($B184="","",SUMIFS($H$5:$H183,$B$5:$B183,$B184)-SUMIFS($J$5:$J183,$B$5:$B183,$B184))</f>
        <v/>
      </c>
      <c r="J184" s="19" t="str">
        <f aca="false">IF(OR($B184="",H184=""),"",MIN(C184,H184+I184))</f>
        <v/>
      </c>
      <c r="K184" s="18" t="str">
        <f aca="false">IF(OR($B184="",J184=""),"",MAX(0,MIN(C184-J184,G184)))</f>
        <v/>
      </c>
      <c r="L184" s="18" t="str">
        <f aca="false">IF(OR($B184="",K184=""),"",G184-K184)</f>
        <v/>
      </c>
      <c r="M184" s="19" t="str">
        <f aca="false">IF(OR($B184="",J184=""),"",H184+I184-J184)</f>
        <v/>
      </c>
    </row>
    <row r="185" customFormat="false" ht="15" hidden="false" customHeight="false" outlineLevel="0" collapsed="false">
      <c r="A185" s="14"/>
      <c r="B185" s="5"/>
      <c r="C185" s="9"/>
      <c r="D185" s="24" t="str">
        <f aca="false">IF($B185="","",IFERROR(INDEX(Loans!$D$6:$D$65,MATCH($B185,Loans!$A$6:$A$65,0)),""))</f>
        <v/>
      </c>
      <c r="E185" s="24" t="str">
        <f aca="false">IF($B185="","",IF(COUNTIFS($B$5:$B184,$B185)=0,D185,_xlfn.MAXIFS($A$5:$A184,$B$5:$B184,$B185)))</f>
        <v/>
      </c>
      <c r="F185" s="25" t="str">
        <f aca="false">IF(OR($B185="",A185=""),"",MAX(0,A185-E185))</f>
        <v/>
      </c>
      <c r="G185" s="19" t="str">
        <f aca="false">IF($B185="","",IFERROR(INDEX(Loans!$E$6:$E$65,MATCH($B185,Loans!$A$6:$A$65,0)),0)-SUMIFS($K$5:$K184,$B$5:$B184,$B185))</f>
        <v/>
      </c>
      <c r="H185" s="19" t="str">
        <f aca="false">IF(OR($B185="",F185=""),"",ROUND(G185*Start!$B$7*F185/Start!$B$8,2))</f>
        <v/>
      </c>
      <c r="I185" s="19" t="str">
        <f aca="false">IF($B185="","",SUMIFS($H$5:$H184,$B$5:$B184,$B185)-SUMIFS($J$5:$J184,$B$5:$B184,$B185))</f>
        <v/>
      </c>
      <c r="J185" s="19" t="str">
        <f aca="false">IF(OR($B185="",H185=""),"",MIN(C185,H185+I185))</f>
        <v/>
      </c>
      <c r="K185" s="18" t="str">
        <f aca="false">IF(OR($B185="",J185=""),"",MAX(0,MIN(C185-J185,G185)))</f>
        <v/>
      </c>
      <c r="L185" s="18" t="str">
        <f aca="false">IF(OR($B185="",K185=""),"",G185-K185)</f>
        <v/>
      </c>
      <c r="M185" s="19" t="str">
        <f aca="false">IF(OR($B185="",J185=""),"",H185+I185-J185)</f>
        <v/>
      </c>
    </row>
    <row r="186" customFormat="false" ht="15" hidden="false" customHeight="false" outlineLevel="0" collapsed="false">
      <c r="A186" s="14"/>
      <c r="B186" s="5"/>
      <c r="C186" s="9"/>
      <c r="D186" s="24" t="str">
        <f aca="false">IF($B186="","",IFERROR(INDEX(Loans!$D$6:$D$65,MATCH($B186,Loans!$A$6:$A$65,0)),""))</f>
        <v/>
      </c>
      <c r="E186" s="24" t="str">
        <f aca="false">IF($B186="","",IF(COUNTIFS($B$5:$B185,$B186)=0,D186,_xlfn.MAXIFS($A$5:$A185,$B$5:$B185,$B186)))</f>
        <v/>
      </c>
      <c r="F186" s="25" t="str">
        <f aca="false">IF(OR($B186="",A186=""),"",MAX(0,A186-E186))</f>
        <v/>
      </c>
      <c r="G186" s="19" t="str">
        <f aca="false">IF($B186="","",IFERROR(INDEX(Loans!$E$6:$E$65,MATCH($B186,Loans!$A$6:$A$65,0)),0)-SUMIFS($K$5:$K185,$B$5:$B185,$B186))</f>
        <v/>
      </c>
      <c r="H186" s="19" t="str">
        <f aca="false">IF(OR($B186="",F186=""),"",ROUND(G186*Start!$B$7*F186/Start!$B$8,2))</f>
        <v/>
      </c>
      <c r="I186" s="19" t="str">
        <f aca="false">IF($B186="","",SUMIFS($H$5:$H185,$B$5:$B185,$B186)-SUMIFS($J$5:$J185,$B$5:$B185,$B186))</f>
        <v/>
      </c>
      <c r="J186" s="19" t="str">
        <f aca="false">IF(OR($B186="",H186=""),"",MIN(C186,H186+I186))</f>
        <v/>
      </c>
      <c r="K186" s="18" t="str">
        <f aca="false">IF(OR($B186="",J186=""),"",MAX(0,MIN(C186-J186,G186)))</f>
        <v/>
      </c>
      <c r="L186" s="18" t="str">
        <f aca="false">IF(OR($B186="",K186=""),"",G186-K186)</f>
        <v/>
      </c>
      <c r="M186" s="19" t="str">
        <f aca="false">IF(OR($B186="",J186=""),"",H186+I186-J186)</f>
        <v/>
      </c>
    </row>
    <row r="187" customFormat="false" ht="15" hidden="false" customHeight="false" outlineLevel="0" collapsed="false">
      <c r="A187" s="14"/>
      <c r="B187" s="5"/>
      <c r="C187" s="9"/>
      <c r="D187" s="24" t="str">
        <f aca="false">IF($B187="","",IFERROR(INDEX(Loans!$D$6:$D$65,MATCH($B187,Loans!$A$6:$A$65,0)),""))</f>
        <v/>
      </c>
      <c r="E187" s="24" t="str">
        <f aca="false">IF($B187="","",IF(COUNTIFS($B$5:$B186,$B187)=0,D187,_xlfn.MAXIFS($A$5:$A186,$B$5:$B186,$B187)))</f>
        <v/>
      </c>
      <c r="F187" s="25" t="str">
        <f aca="false">IF(OR($B187="",A187=""),"",MAX(0,A187-E187))</f>
        <v/>
      </c>
      <c r="G187" s="19" t="str">
        <f aca="false">IF($B187="","",IFERROR(INDEX(Loans!$E$6:$E$65,MATCH($B187,Loans!$A$6:$A$65,0)),0)-SUMIFS($K$5:$K186,$B$5:$B186,$B187))</f>
        <v/>
      </c>
      <c r="H187" s="19" t="str">
        <f aca="false">IF(OR($B187="",F187=""),"",ROUND(G187*Start!$B$7*F187/Start!$B$8,2))</f>
        <v/>
      </c>
      <c r="I187" s="19" t="str">
        <f aca="false">IF($B187="","",SUMIFS($H$5:$H186,$B$5:$B186,$B187)-SUMIFS($J$5:$J186,$B$5:$B186,$B187))</f>
        <v/>
      </c>
      <c r="J187" s="19" t="str">
        <f aca="false">IF(OR($B187="",H187=""),"",MIN(C187,H187+I187))</f>
        <v/>
      </c>
      <c r="K187" s="18" t="str">
        <f aca="false">IF(OR($B187="",J187=""),"",MAX(0,MIN(C187-J187,G187)))</f>
        <v/>
      </c>
      <c r="L187" s="18" t="str">
        <f aca="false">IF(OR($B187="",K187=""),"",G187-K187)</f>
        <v/>
      </c>
      <c r="M187" s="19" t="str">
        <f aca="false">IF(OR($B187="",J187=""),"",H187+I187-J187)</f>
        <v/>
      </c>
    </row>
    <row r="188" customFormat="false" ht="15" hidden="false" customHeight="false" outlineLevel="0" collapsed="false">
      <c r="A188" s="14"/>
      <c r="B188" s="5"/>
      <c r="C188" s="9"/>
      <c r="D188" s="24" t="str">
        <f aca="false">IF($B188="","",IFERROR(INDEX(Loans!$D$6:$D$65,MATCH($B188,Loans!$A$6:$A$65,0)),""))</f>
        <v/>
      </c>
      <c r="E188" s="24" t="str">
        <f aca="false">IF($B188="","",IF(COUNTIFS($B$5:$B187,$B188)=0,D188,_xlfn.MAXIFS($A$5:$A187,$B$5:$B187,$B188)))</f>
        <v/>
      </c>
      <c r="F188" s="25" t="str">
        <f aca="false">IF(OR($B188="",A188=""),"",MAX(0,A188-E188))</f>
        <v/>
      </c>
      <c r="G188" s="19" t="str">
        <f aca="false">IF($B188="","",IFERROR(INDEX(Loans!$E$6:$E$65,MATCH($B188,Loans!$A$6:$A$65,0)),0)-SUMIFS($K$5:$K187,$B$5:$B187,$B188))</f>
        <v/>
      </c>
      <c r="H188" s="19" t="str">
        <f aca="false">IF(OR($B188="",F188=""),"",ROUND(G188*Start!$B$7*F188/Start!$B$8,2))</f>
        <v/>
      </c>
      <c r="I188" s="19" t="str">
        <f aca="false">IF($B188="","",SUMIFS($H$5:$H187,$B$5:$B187,$B188)-SUMIFS($J$5:$J187,$B$5:$B187,$B188))</f>
        <v/>
      </c>
      <c r="J188" s="19" t="str">
        <f aca="false">IF(OR($B188="",H188=""),"",MIN(C188,H188+I188))</f>
        <v/>
      </c>
      <c r="K188" s="18" t="str">
        <f aca="false">IF(OR($B188="",J188=""),"",MAX(0,MIN(C188-J188,G188)))</f>
        <v/>
      </c>
      <c r="L188" s="18" t="str">
        <f aca="false">IF(OR($B188="",K188=""),"",G188-K188)</f>
        <v/>
      </c>
      <c r="M188" s="19" t="str">
        <f aca="false">IF(OR($B188="",J188=""),"",H188+I188-J188)</f>
        <v/>
      </c>
    </row>
    <row r="189" customFormat="false" ht="15" hidden="false" customHeight="false" outlineLevel="0" collapsed="false">
      <c r="A189" s="14"/>
      <c r="B189" s="5"/>
      <c r="C189" s="9"/>
      <c r="D189" s="24" t="str">
        <f aca="false">IF($B189="","",IFERROR(INDEX(Loans!$D$6:$D$65,MATCH($B189,Loans!$A$6:$A$65,0)),""))</f>
        <v/>
      </c>
      <c r="E189" s="24" t="str">
        <f aca="false">IF($B189="","",IF(COUNTIFS($B$5:$B188,$B189)=0,D189,_xlfn.MAXIFS($A$5:$A188,$B$5:$B188,$B189)))</f>
        <v/>
      </c>
      <c r="F189" s="25" t="str">
        <f aca="false">IF(OR($B189="",A189=""),"",MAX(0,A189-E189))</f>
        <v/>
      </c>
      <c r="G189" s="19" t="str">
        <f aca="false">IF($B189="","",IFERROR(INDEX(Loans!$E$6:$E$65,MATCH($B189,Loans!$A$6:$A$65,0)),0)-SUMIFS($K$5:$K188,$B$5:$B188,$B189))</f>
        <v/>
      </c>
      <c r="H189" s="19" t="str">
        <f aca="false">IF(OR($B189="",F189=""),"",ROUND(G189*Start!$B$7*F189/Start!$B$8,2))</f>
        <v/>
      </c>
      <c r="I189" s="19" t="str">
        <f aca="false">IF($B189="","",SUMIFS($H$5:$H188,$B$5:$B188,$B189)-SUMIFS($J$5:$J188,$B$5:$B188,$B189))</f>
        <v/>
      </c>
      <c r="J189" s="19" t="str">
        <f aca="false">IF(OR($B189="",H189=""),"",MIN(C189,H189+I189))</f>
        <v/>
      </c>
      <c r="K189" s="18" t="str">
        <f aca="false">IF(OR($B189="",J189=""),"",MAX(0,MIN(C189-J189,G189)))</f>
        <v/>
      </c>
      <c r="L189" s="18" t="str">
        <f aca="false">IF(OR($B189="",K189=""),"",G189-K189)</f>
        <v/>
      </c>
      <c r="M189" s="19" t="str">
        <f aca="false">IF(OR($B189="",J189=""),"",H189+I189-J189)</f>
        <v/>
      </c>
    </row>
    <row r="190" customFormat="false" ht="15" hidden="false" customHeight="false" outlineLevel="0" collapsed="false">
      <c r="A190" s="14"/>
      <c r="B190" s="5"/>
      <c r="C190" s="9"/>
      <c r="D190" s="24" t="str">
        <f aca="false">IF($B190="","",IFERROR(INDEX(Loans!$D$6:$D$65,MATCH($B190,Loans!$A$6:$A$65,0)),""))</f>
        <v/>
      </c>
      <c r="E190" s="24" t="str">
        <f aca="false">IF($B190="","",IF(COUNTIFS($B$5:$B189,$B190)=0,D190,_xlfn.MAXIFS($A$5:$A189,$B$5:$B189,$B190)))</f>
        <v/>
      </c>
      <c r="F190" s="25" t="str">
        <f aca="false">IF(OR($B190="",A190=""),"",MAX(0,A190-E190))</f>
        <v/>
      </c>
      <c r="G190" s="19" t="str">
        <f aca="false">IF($B190="","",IFERROR(INDEX(Loans!$E$6:$E$65,MATCH($B190,Loans!$A$6:$A$65,0)),0)-SUMIFS($K$5:$K189,$B$5:$B189,$B190))</f>
        <v/>
      </c>
      <c r="H190" s="19" t="str">
        <f aca="false">IF(OR($B190="",F190=""),"",ROUND(G190*Start!$B$7*F190/Start!$B$8,2))</f>
        <v/>
      </c>
      <c r="I190" s="19" t="str">
        <f aca="false">IF($B190="","",SUMIFS($H$5:$H189,$B$5:$B189,$B190)-SUMIFS($J$5:$J189,$B$5:$B189,$B190))</f>
        <v/>
      </c>
      <c r="J190" s="19" t="str">
        <f aca="false">IF(OR($B190="",H190=""),"",MIN(C190,H190+I190))</f>
        <v/>
      </c>
      <c r="K190" s="18" t="str">
        <f aca="false">IF(OR($B190="",J190=""),"",MAX(0,MIN(C190-J190,G190)))</f>
        <v/>
      </c>
      <c r="L190" s="18" t="str">
        <f aca="false">IF(OR($B190="",K190=""),"",G190-K190)</f>
        <v/>
      </c>
      <c r="M190" s="19" t="str">
        <f aca="false">IF(OR($B190="",J190=""),"",H190+I190-J190)</f>
        <v/>
      </c>
    </row>
    <row r="191" customFormat="false" ht="15" hidden="false" customHeight="false" outlineLevel="0" collapsed="false">
      <c r="A191" s="14"/>
      <c r="B191" s="5"/>
      <c r="C191" s="9"/>
      <c r="D191" s="24" t="str">
        <f aca="false">IF($B191="","",IFERROR(INDEX(Loans!$D$6:$D$65,MATCH($B191,Loans!$A$6:$A$65,0)),""))</f>
        <v/>
      </c>
      <c r="E191" s="24" t="str">
        <f aca="false">IF($B191="","",IF(COUNTIFS($B$5:$B190,$B191)=0,D191,_xlfn.MAXIFS($A$5:$A190,$B$5:$B190,$B191)))</f>
        <v/>
      </c>
      <c r="F191" s="25" t="str">
        <f aca="false">IF(OR($B191="",A191=""),"",MAX(0,A191-E191))</f>
        <v/>
      </c>
      <c r="G191" s="19" t="str">
        <f aca="false">IF($B191="","",IFERROR(INDEX(Loans!$E$6:$E$65,MATCH($B191,Loans!$A$6:$A$65,0)),0)-SUMIFS($K$5:$K190,$B$5:$B190,$B191))</f>
        <v/>
      </c>
      <c r="H191" s="19" t="str">
        <f aca="false">IF(OR($B191="",F191=""),"",ROUND(G191*Start!$B$7*F191/Start!$B$8,2))</f>
        <v/>
      </c>
      <c r="I191" s="19" t="str">
        <f aca="false">IF($B191="","",SUMIFS($H$5:$H190,$B$5:$B190,$B191)-SUMIFS($J$5:$J190,$B$5:$B190,$B191))</f>
        <v/>
      </c>
      <c r="J191" s="19" t="str">
        <f aca="false">IF(OR($B191="",H191=""),"",MIN(C191,H191+I191))</f>
        <v/>
      </c>
      <c r="K191" s="18" t="str">
        <f aca="false">IF(OR($B191="",J191=""),"",MAX(0,MIN(C191-J191,G191)))</f>
        <v/>
      </c>
      <c r="L191" s="18" t="str">
        <f aca="false">IF(OR($B191="",K191=""),"",G191-K191)</f>
        <v/>
      </c>
      <c r="M191" s="19" t="str">
        <f aca="false">IF(OR($B191="",J191=""),"",H191+I191-J191)</f>
        <v/>
      </c>
    </row>
    <row r="192" customFormat="false" ht="15" hidden="false" customHeight="false" outlineLevel="0" collapsed="false">
      <c r="A192" s="14"/>
      <c r="B192" s="5"/>
      <c r="C192" s="9"/>
      <c r="D192" s="24" t="str">
        <f aca="false">IF($B192="","",IFERROR(INDEX(Loans!$D$6:$D$65,MATCH($B192,Loans!$A$6:$A$65,0)),""))</f>
        <v/>
      </c>
      <c r="E192" s="24" t="str">
        <f aca="false">IF($B192="","",IF(COUNTIFS($B$5:$B191,$B192)=0,D192,_xlfn.MAXIFS($A$5:$A191,$B$5:$B191,$B192)))</f>
        <v/>
      </c>
      <c r="F192" s="25" t="str">
        <f aca="false">IF(OR($B192="",A192=""),"",MAX(0,A192-E192))</f>
        <v/>
      </c>
      <c r="G192" s="19" t="str">
        <f aca="false">IF($B192="","",IFERROR(INDEX(Loans!$E$6:$E$65,MATCH($B192,Loans!$A$6:$A$65,0)),0)-SUMIFS($K$5:$K191,$B$5:$B191,$B192))</f>
        <v/>
      </c>
      <c r="H192" s="19" t="str">
        <f aca="false">IF(OR($B192="",F192=""),"",ROUND(G192*Start!$B$7*F192/Start!$B$8,2))</f>
        <v/>
      </c>
      <c r="I192" s="19" t="str">
        <f aca="false">IF($B192="","",SUMIFS($H$5:$H191,$B$5:$B191,$B192)-SUMIFS($J$5:$J191,$B$5:$B191,$B192))</f>
        <v/>
      </c>
      <c r="J192" s="19" t="str">
        <f aca="false">IF(OR($B192="",H192=""),"",MIN(C192,H192+I192))</f>
        <v/>
      </c>
      <c r="K192" s="18" t="str">
        <f aca="false">IF(OR($B192="",J192=""),"",MAX(0,MIN(C192-J192,G192)))</f>
        <v/>
      </c>
      <c r="L192" s="18" t="str">
        <f aca="false">IF(OR($B192="",K192=""),"",G192-K192)</f>
        <v/>
      </c>
      <c r="M192" s="19" t="str">
        <f aca="false">IF(OR($B192="",J192=""),"",H192+I192-J192)</f>
        <v/>
      </c>
    </row>
    <row r="193" customFormat="false" ht="15" hidden="false" customHeight="false" outlineLevel="0" collapsed="false">
      <c r="A193" s="14"/>
      <c r="B193" s="5"/>
      <c r="C193" s="9"/>
      <c r="D193" s="24" t="str">
        <f aca="false">IF($B193="","",IFERROR(INDEX(Loans!$D$6:$D$65,MATCH($B193,Loans!$A$6:$A$65,0)),""))</f>
        <v/>
      </c>
      <c r="E193" s="24" t="str">
        <f aca="false">IF($B193="","",IF(COUNTIFS($B$5:$B192,$B193)=0,D193,_xlfn.MAXIFS($A$5:$A192,$B$5:$B192,$B193)))</f>
        <v/>
      </c>
      <c r="F193" s="25" t="str">
        <f aca="false">IF(OR($B193="",A193=""),"",MAX(0,A193-E193))</f>
        <v/>
      </c>
      <c r="G193" s="19" t="str">
        <f aca="false">IF($B193="","",IFERROR(INDEX(Loans!$E$6:$E$65,MATCH($B193,Loans!$A$6:$A$65,0)),0)-SUMIFS($K$5:$K192,$B$5:$B192,$B193))</f>
        <v/>
      </c>
      <c r="H193" s="19" t="str">
        <f aca="false">IF(OR($B193="",F193=""),"",ROUND(G193*Start!$B$7*F193/Start!$B$8,2))</f>
        <v/>
      </c>
      <c r="I193" s="19" t="str">
        <f aca="false">IF($B193="","",SUMIFS($H$5:$H192,$B$5:$B192,$B193)-SUMIFS($J$5:$J192,$B$5:$B192,$B193))</f>
        <v/>
      </c>
      <c r="J193" s="19" t="str">
        <f aca="false">IF(OR($B193="",H193=""),"",MIN(C193,H193+I193))</f>
        <v/>
      </c>
      <c r="K193" s="18" t="str">
        <f aca="false">IF(OR($B193="",J193=""),"",MAX(0,MIN(C193-J193,G193)))</f>
        <v/>
      </c>
      <c r="L193" s="18" t="str">
        <f aca="false">IF(OR($B193="",K193=""),"",G193-K193)</f>
        <v/>
      </c>
      <c r="M193" s="19" t="str">
        <f aca="false">IF(OR($B193="",J193=""),"",H193+I193-J193)</f>
        <v/>
      </c>
    </row>
    <row r="194" customFormat="false" ht="15" hidden="false" customHeight="false" outlineLevel="0" collapsed="false">
      <c r="A194" s="14"/>
      <c r="B194" s="5"/>
      <c r="C194" s="9"/>
      <c r="D194" s="24" t="str">
        <f aca="false">IF($B194="","",IFERROR(INDEX(Loans!$D$6:$D$65,MATCH($B194,Loans!$A$6:$A$65,0)),""))</f>
        <v/>
      </c>
      <c r="E194" s="24" t="str">
        <f aca="false">IF($B194="","",IF(COUNTIFS($B$5:$B193,$B194)=0,D194,_xlfn.MAXIFS($A$5:$A193,$B$5:$B193,$B194)))</f>
        <v/>
      </c>
      <c r="F194" s="25" t="str">
        <f aca="false">IF(OR($B194="",A194=""),"",MAX(0,A194-E194))</f>
        <v/>
      </c>
      <c r="G194" s="19" t="str">
        <f aca="false">IF($B194="","",IFERROR(INDEX(Loans!$E$6:$E$65,MATCH($B194,Loans!$A$6:$A$65,0)),0)-SUMIFS($K$5:$K193,$B$5:$B193,$B194))</f>
        <v/>
      </c>
      <c r="H194" s="19" t="str">
        <f aca="false">IF(OR($B194="",F194=""),"",ROUND(G194*Start!$B$7*F194/Start!$B$8,2))</f>
        <v/>
      </c>
      <c r="I194" s="19" t="str">
        <f aca="false">IF($B194="","",SUMIFS($H$5:$H193,$B$5:$B193,$B194)-SUMIFS($J$5:$J193,$B$5:$B193,$B194))</f>
        <v/>
      </c>
      <c r="J194" s="19" t="str">
        <f aca="false">IF(OR($B194="",H194=""),"",MIN(C194,H194+I194))</f>
        <v/>
      </c>
      <c r="K194" s="18" t="str">
        <f aca="false">IF(OR($B194="",J194=""),"",MAX(0,MIN(C194-J194,G194)))</f>
        <v/>
      </c>
      <c r="L194" s="18" t="str">
        <f aca="false">IF(OR($B194="",K194=""),"",G194-K194)</f>
        <v/>
      </c>
      <c r="M194" s="19" t="str">
        <f aca="false">IF(OR($B194="",J194=""),"",H194+I194-J194)</f>
        <v/>
      </c>
    </row>
    <row r="195" customFormat="false" ht="15" hidden="false" customHeight="false" outlineLevel="0" collapsed="false">
      <c r="A195" s="14"/>
      <c r="B195" s="5"/>
      <c r="C195" s="9"/>
      <c r="D195" s="24" t="str">
        <f aca="false">IF($B195="","",IFERROR(INDEX(Loans!$D$6:$D$65,MATCH($B195,Loans!$A$6:$A$65,0)),""))</f>
        <v/>
      </c>
      <c r="E195" s="24" t="str">
        <f aca="false">IF($B195="","",IF(COUNTIFS($B$5:$B194,$B195)=0,D195,_xlfn.MAXIFS($A$5:$A194,$B$5:$B194,$B195)))</f>
        <v/>
      </c>
      <c r="F195" s="25" t="str">
        <f aca="false">IF(OR($B195="",A195=""),"",MAX(0,A195-E195))</f>
        <v/>
      </c>
      <c r="G195" s="19" t="str">
        <f aca="false">IF($B195="","",IFERROR(INDEX(Loans!$E$6:$E$65,MATCH($B195,Loans!$A$6:$A$65,0)),0)-SUMIFS($K$5:$K194,$B$5:$B194,$B195))</f>
        <v/>
      </c>
      <c r="H195" s="19" t="str">
        <f aca="false">IF(OR($B195="",F195=""),"",ROUND(G195*Start!$B$7*F195/Start!$B$8,2))</f>
        <v/>
      </c>
      <c r="I195" s="19" t="str">
        <f aca="false">IF($B195="","",SUMIFS($H$5:$H194,$B$5:$B194,$B195)-SUMIFS($J$5:$J194,$B$5:$B194,$B195))</f>
        <v/>
      </c>
      <c r="J195" s="19" t="str">
        <f aca="false">IF(OR($B195="",H195=""),"",MIN(C195,H195+I195))</f>
        <v/>
      </c>
      <c r="K195" s="18" t="str">
        <f aca="false">IF(OR($B195="",J195=""),"",MAX(0,MIN(C195-J195,G195)))</f>
        <v/>
      </c>
      <c r="L195" s="18" t="str">
        <f aca="false">IF(OR($B195="",K195=""),"",G195-K195)</f>
        <v/>
      </c>
      <c r="M195" s="19" t="str">
        <f aca="false">IF(OR($B195="",J195=""),"",H195+I195-J195)</f>
        <v/>
      </c>
    </row>
    <row r="196" customFormat="false" ht="15" hidden="false" customHeight="false" outlineLevel="0" collapsed="false">
      <c r="A196" s="14"/>
      <c r="B196" s="5"/>
      <c r="C196" s="9"/>
      <c r="D196" s="24" t="str">
        <f aca="false">IF($B196="","",IFERROR(INDEX(Loans!$D$6:$D$65,MATCH($B196,Loans!$A$6:$A$65,0)),""))</f>
        <v/>
      </c>
      <c r="E196" s="24" t="str">
        <f aca="false">IF($B196="","",IF(COUNTIFS($B$5:$B195,$B196)=0,D196,_xlfn.MAXIFS($A$5:$A195,$B$5:$B195,$B196)))</f>
        <v/>
      </c>
      <c r="F196" s="25" t="str">
        <f aca="false">IF(OR($B196="",A196=""),"",MAX(0,A196-E196))</f>
        <v/>
      </c>
      <c r="G196" s="19" t="str">
        <f aca="false">IF($B196="","",IFERROR(INDEX(Loans!$E$6:$E$65,MATCH($B196,Loans!$A$6:$A$65,0)),0)-SUMIFS($K$5:$K195,$B$5:$B195,$B196))</f>
        <v/>
      </c>
      <c r="H196" s="19" t="str">
        <f aca="false">IF(OR($B196="",F196=""),"",ROUND(G196*Start!$B$7*F196/Start!$B$8,2))</f>
        <v/>
      </c>
      <c r="I196" s="19" t="str">
        <f aca="false">IF($B196="","",SUMIFS($H$5:$H195,$B$5:$B195,$B196)-SUMIFS($J$5:$J195,$B$5:$B195,$B196))</f>
        <v/>
      </c>
      <c r="J196" s="19" t="str">
        <f aca="false">IF(OR($B196="",H196=""),"",MIN(C196,H196+I196))</f>
        <v/>
      </c>
      <c r="K196" s="18" t="str">
        <f aca="false">IF(OR($B196="",J196=""),"",MAX(0,MIN(C196-J196,G196)))</f>
        <v/>
      </c>
      <c r="L196" s="18" t="str">
        <f aca="false">IF(OR($B196="",K196=""),"",G196-K196)</f>
        <v/>
      </c>
      <c r="M196" s="19" t="str">
        <f aca="false">IF(OR($B196="",J196=""),"",H196+I196-J196)</f>
        <v/>
      </c>
    </row>
    <row r="197" customFormat="false" ht="15" hidden="false" customHeight="false" outlineLevel="0" collapsed="false">
      <c r="A197" s="14"/>
      <c r="B197" s="5"/>
      <c r="C197" s="9"/>
      <c r="D197" s="24" t="str">
        <f aca="false">IF($B197="","",IFERROR(INDEX(Loans!$D$6:$D$65,MATCH($B197,Loans!$A$6:$A$65,0)),""))</f>
        <v/>
      </c>
      <c r="E197" s="24" t="str">
        <f aca="false">IF($B197="","",IF(COUNTIFS($B$5:$B196,$B197)=0,D197,_xlfn.MAXIFS($A$5:$A196,$B$5:$B196,$B197)))</f>
        <v/>
      </c>
      <c r="F197" s="25" t="str">
        <f aca="false">IF(OR($B197="",A197=""),"",MAX(0,A197-E197))</f>
        <v/>
      </c>
      <c r="G197" s="19" t="str">
        <f aca="false">IF($B197="","",IFERROR(INDEX(Loans!$E$6:$E$65,MATCH($B197,Loans!$A$6:$A$65,0)),0)-SUMIFS($K$5:$K196,$B$5:$B196,$B197))</f>
        <v/>
      </c>
      <c r="H197" s="19" t="str">
        <f aca="false">IF(OR($B197="",F197=""),"",ROUND(G197*Start!$B$7*F197/Start!$B$8,2))</f>
        <v/>
      </c>
      <c r="I197" s="19" t="str">
        <f aca="false">IF($B197="","",SUMIFS($H$5:$H196,$B$5:$B196,$B197)-SUMIFS($J$5:$J196,$B$5:$B196,$B197))</f>
        <v/>
      </c>
      <c r="J197" s="19" t="str">
        <f aca="false">IF(OR($B197="",H197=""),"",MIN(C197,H197+I197))</f>
        <v/>
      </c>
      <c r="K197" s="18" t="str">
        <f aca="false">IF(OR($B197="",J197=""),"",MAX(0,MIN(C197-J197,G197)))</f>
        <v/>
      </c>
      <c r="L197" s="18" t="str">
        <f aca="false">IF(OR($B197="",K197=""),"",G197-K197)</f>
        <v/>
      </c>
      <c r="M197" s="19" t="str">
        <f aca="false">IF(OR($B197="",J197=""),"",H197+I197-J197)</f>
        <v/>
      </c>
    </row>
    <row r="198" customFormat="false" ht="15" hidden="false" customHeight="false" outlineLevel="0" collapsed="false">
      <c r="A198" s="14"/>
      <c r="B198" s="5"/>
      <c r="C198" s="9"/>
      <c r="D198" s="24" t="str">
        <f aca="false">IF($B198="","",IFERROR(INDEX(Loans!$D$6:$D$65,MATCH($B198,Loans!$A$6:$A$65,0)),""))</f>
        <v/>
      </c>
      <c r="E198" s="24" t="str">
        <f aca="false">IF($B198="","",IF(COUNTIFS($B$5:$B197,$B198)=0,D198,_xlfn.MAXIFS($A$5:$A197,$B$5:$B197,$B198)))</f>
        <v/>
      </c>
      <c r="F198" s="25" t="str">
        <f aca="false">IF(OR($B198="",A198=""),"",MAX(0,A198-E198))</f>
        <v/>
      </c>
      <c r="G198" s="19" t="str">
        <f aca="false">IF($B198="","",IFERROR(INDEX(Loans!$E$6:$E$65,MATCH($B198,Loans!$A$6:$A$65,0)),0)-SUMIFS($K$5:$K197,$B$5:$B197,$B198))</f>
        <v/>
      </c>
      <c r="H198" s="19" t="str">
        <f aca="false">IF(OR($B198="",F198=""),"",ROUND(G198*Start!$B$7*F198/Start!$B$8,2))</f>
        <v/>
      </c>
      <c r="I198" s="19" t="str">
        <f aca="false">IF($B198="","",SUMIFS($H$5:$H197,$B$5:$B197,$B198)-SUMIFS($J$5:$J197,$B$5:$B197,$B198))</f>
        <v/>
      </c>
      <c r="J198" s="19" t="str">
        <f aca="false">IF(OR($B198="",H198=""),"",MIN(C198,H198+I198))</f>
        <v/>
      </c>
      <c r="K198" s="18" t="str">
        <f aca="false">IF(OR($B198="",J198=""),"",MAX(0,MIN(C198-J198,G198)))</f>
        <v/>
      </c>
      <c r="L198" s="18" t="str">
        <f aca="false">IF(OR($B198="",K198=""),"",G198-K198)</f>
        <v/>
      </c>
      <c r="M198" s="19" t="str">
        <f aca="false">IF(OR($B198="",J198=""),"",H198+I198-J198)</f>
        <v/>
      </c>
    </row>
    <row r="199" customFormat="false" ht="15" hidden="false" customHeight="false" outlineLevel="0" collapsed="false">
      <c r="A199" s="14"/>
      <c r="B199" s="5"/>
      <c r="C199" s="9"/>
      <c r="D199" s="24" t="str">
        <f aca="false">IF($B199="","",IFERROR(INDEX(Loans!$D$6:$D$65,MATCH($B199,Loans!$A$6:$A$65,0)),""))</f>
        <v/>
      </c>
      <c r="E199" s="24" t="str">
        <f aca="false">IF($B199="","",IF(COUNTIFS($B$5:$B198,$B199)=0,D199,_xlfn.MAXIFS($A$5:$A198,$B$5:$B198,$B199)))</f>
        <v/>
      </c>
      <c r="F199" s="25" t="str">
        <f aca="false">IF(OR($B199="",A199=""),"",MAX(0,A199-E199))</f>
        <v/>
      </c>
      <c r="G199" s="19" t="str">
        <f aca="false">IF($B199="","",IFERROR(INDEX(Loans!$E$6:$E$65,MATCH($B199,Loans!$A$6:$A$65,0)),0)-SUMIFS($K$5:$K198,$B$5:$B198,$B199))</f>
        <v/>
      </c>
      <c r="H199" s="19" t="str">
        <f aca="false">IF(OR($B199="",F199=""),"",ROUND(G199*Start!$B$7*F199/Start!$B$8,2))</f>
        <v/>
      </c>
      <c r="I199" s="19" t="str">
        <f aca="false">IF($B199="","",SUMIFS($H$5:$H198,$B$5:$B198,$B199)-SUMIFS($J$5:$J198,$B$5:$B198,$B199))</f>
        <v/>
      </c>
      <c r="J199" s="19" t="str">
        <f aca="false">IF(OR($B199="",H199=""),"",MIN(C199,H199+I199))</f>
        <v/>
      </c>
      <c r="K199" s="18" t="str">
        <f aca="false">IF(OR($B199="",J199=""),"",MAX(0,MIN(C199-J199,G199)))</f>
        <v/>
      </c>
      <c r="L199" s="18" t="str">
        <f aca="false">IF(OR($B199="",K199=""),"",G199-K199)</f>
        <v/>
      </c>
      <c r="M199" s="19" t="str">
        <f aca="false">IF(OR($B199="",J199=""),"",H199+I199-J199)</f>
        <v/>
      </c>
    </row>
    <row r="200" customFormat="false" ht="15" hidden="false" customHeight="false" outlineLevel="0" collapsed="false">
      <c r="A200" s="14"/>
      <c r="B200" s="5"/>
      <c r="C200" s="9"/>
      <c r="D200" s="24" t="str">
        <f aca="false">IF($B200="","",IFERROR(INDEX(Loans!$D$6:$D$65,MATCH($B200,Loans!$A$6:$A$65,0)),""))</f>
        <v/>
      </c>
      <c r="E200" s="24" t="str">
        <f aca="false">IF($B200="","",IF(COUNTIFS($B$5:$B199,$B200)=0,D200,_xlfn.MAXIFS($A$5:$A199,$B$5:$B199,$B200)))</f>
        <v/>
      </c>
      <c r="F200" s="25" t="str">
        <f aca="false">IF(OR($B200="",A200=""),"",MAX(0,A200-E200))</f>
        <v/>
      </c>
      <c r="G200" s="19" t="str">
        <f aca="false">IF($B200="","",IFERROR(INDEX(Loans!$E$6:$E$65,MATCH($B200,Loans!$A$6:$A$65,0)),0)-SUMIFS($K$5:$K199,$B$5:$B199,$B200))</f>
        <v/>
      </c>
      <c r="H200" s="19" t="str">
        <f aca="false">IF(OR($B200="",F200=""),"",ROUND(G200*Start!$B$7*F200/Start!$B$8,2))</f>
        <v/>
      </c>
      <c r="I200" s="19" t="str">
        <f aca="false">IF($B200="","",SUMIFS($H$5:$H199,$B$5:$B199,$B200)-SUMIFS($J$5:$J199,$B$5:$B199,$B200))</f>
        <v/>
      </c>
      <c r="J200" s="19" t="str">
        <f aca="false">IF(OR($B200="",H200=""),"",MIN(C200,H200+I200))</f>
        <v/>
      </c>
      <c r="K200" s="18" t="str">
        <f aca="false">IF(OR($B200="",J200=""),"",MAX(0,MIN(C200-J200,G200)))</f>
        <v/>
      </c>
      <c r="L200" s="18" t="str">
        <f aca="false">IF(OR($B200="",K200=""),"",G200-K200)</f>
        <v/>
      </c>
      <c r="M200" s="19" t="str">
        <f aca="false">IF(OR($B200="",J200=""),"",H200+I200-J200)</f>
        <v/>
      </c>
    </row>
    <row r="201" customFormat="false" ht="15" hidden="false" customHeight="false" outlineLevel="0" collapsed="false">
      <c r="A201" s="14"/>
      <c r="B201" s="5"/>
      <c r="C201" s="9"/>
      <c r="D201" s="24" t="str">
        <f aca="false">IF($B201="","",IFERROR(INDEX(Loans!$D$6:$D$65,MATCH($B201,Loans!$A$6:$A$65,0)),""))</f>
        <v/>
      </c>
      <c r="E201" s="24" t="str">
        <f aca="false">IF($B201="","",IF(COUNTIFS($B$5:$B200,$B201)=0,D201,_xlfn.MAXIFS($A$5:$A200,$B$5:$B200,$B201)))</f>
        <v/>
      </c>
      <c r="F201" s="25" t="str">
        <f aca="false">IF(OR($B201="",A201=""),"",MAX(0,A201-E201))</f>
        <v/>
      </c>
      <c r="G201" s="19" t="str">
        <f aca="false">IF($B201="","",IFERROR(INDEX(Loans!$E$6:$E$65,MATCH($B201,Loans!$A$6:$A$65,0)),0)-SUMIFS($K$5:$K200,$B$5:$B200,$B201))</f>
        <v/>
      </c>
      <c r="H201" s="19" t="str">
        <f aca="false">IF(OR($B201="",F201=""),"",ROUND(G201*Start!$B$7*F201/Start!$B$8,2))</f>
        <v/>
      </c>
      <c r="I201" s="19" t="str">
        <f aca="false">IF($B201="","",SUMIFS($H$5:$H200,$B$5:$B200,$B201)-SUMIFS($J$5:$J200,$B$5:$B200,$B201))</f>
        <v/>
      </c>
      <c r="J201" s="19" t="str">
        <f aca="false">IF(OR($B201="",H201=""),"",MIN(C201,H201+I201))</f>
        <v/>
      </c>
      <c r="K201" s="18" t="str">
        <f aca="false">IF(OR($B201="",J201=""),"",MAX(0,MIN(C201-J201,G201)))</f>
        <v/>
      </c>
      <c r="L201" s="18" t="str">
        <f aca="false">IF(OR($B201="",K201=""),"",G201-K201)</f>
        <v/>
      </c>
      <c r="M201" s="19" t="str">
        <f aca="false">IF(OR($B201="",J201=""),"",H201+I201-J201)</f>
        <v/>
      </c>
    </row>
    <row r="202" customFormat="false" ht="15" hidden="false" customHeight="false" outlineLevel="0" collapsed="false">
      <c r="A202" s="14"/>
      <c r="B202" s="5"/>
      <c r="C202" s="9"/>
      <c r="D202" s="24" t="str">
        <f aca="false">IF($B202="","",IFERROR(INDEX(Loans!$D$6:$D$65,MATCH($B202,Loans!$A$6:$A$65,0)),""))</f>
        <v/>
      </c>
      <c r="E202" s="24" t="str">
        <f aca="false">IF($B202="","",IF(COUNTIFS($B$5:$B201,$B202)=0,D202,_xlfn.MAXIFS($A$5:$A201,$B$5:$B201,$B202)))</f>
        <v/>
      </c>
      <c r="F202" s="25" t="str">
        <f aca="false">IF(OR($B202="",A202=""),"",MAX(0,A202-E202))</f>
        <v/>
      </c>
      <c r="G202" s="19" t="str">
        <f aca="false">IF($B202="","",IFERROR(INDEX(Loans!$E$6:$E$65,MATCH($B202,Loans!$A$6:$A$65,0)),0)-SUMIFS($K$5:$K201,$B$5:$B201,$B202))</f>
        <v/>
      </c>
      <c r="H202" s="19" t="str">
        <f aca="false">IF(OR($B202="",F202=""),"",ROUND(G202*Start!$B$7*F202/Start!$B$8,2))</f>
        <v/>
      </c>
      <c r="I202" s="19" t="str">
        <f aca="false">IF($B202="","",SUMIFS($H$5:$H201,$B$5:$B201,$B202)-SUMIFS($J$5:$J201,$B$5:$B201,$B202))</f>
        <v/>
      </c>
      <c r="J202" s="19" t="str">
        <f aca="false">IF(OR($B202="",H202=""),"",MIN(C202,H202+I202))</f>
        <v/>
      </c>
      <c r="K202" s="18" t="str">
        <f aca="false">IF(OR($B202="",J202=""),"",MAX(0,MIN(C202-J202,G202)))</f>
        <v/>
      </c>
      <c r="L202" s="18" t="str">
        <f aca="false">IF(OR($B202="",K202=""),"",G202-K202)</f>
        <v/>
      </c>
      <c r="M202" s="19" t="str">
        <f aca="false">IF(OR($B202="",J202=""),"",H202+I202-J202)</f>
        <v/>
      </c>
    </row>
    <row r="203" customFormat="false" ht="15" hidden="false" customHeight="false" outlineLevel="0" collapsed="false">
      <c r="A203" s="14"/>
      <c r="B203" s="5"/>
      <c r="C203" s="9"/>
      <c r="D203" s="24" t="str">
        <f aca="false">IF($B203="","",IFERROR(INDEX(Loans!$D$6:$D$65,MATCH($B203,Loans!$A$6:$A$65,0)),""))</f>
        <v/>
      </c>
      <c r="E203" s="24" t="str">
        <f aca="false">IF($B203="","",IF(COUNTIFS($B$5:$B202,$B203)=0,D203,_xlfn.MAXIFS($A$5:$A202,$B$5:$B202,$B203)))</f>
        <v/>
      </c>
      <c r="F203" s="25" t="str">
        <f aca="false">IF(OR($B203="",A203=""),"",MAX(0,A203-E203))</f>
        <v/>
      </c>
      <c r="G203" s="19" t="str">
        <f aca="false">IF($B203="","",IFERROR(INDEX(Loans!$E$6:$E$65,MATCH($B203,Loans!$A$6:$A$65,0)),0)-SUMIFS($K$5:$K202,$B$5:$B202,$B203))</f>
        <v/>
      </c>
      <c r="H203" s="19" t="str">
        <f aca="false">IF(OR($B203="",F203=""),"",ROUND(G203*Start!$B$7*F203/Start!$B$8,2))</f>
        <v/>
      </c>
      <c r="I203" s="19" t="str">
        <f aca="false">IF($B203="","",SUMIFS($H$5:$H202,$B$5:$B202,$B203)-SUMIFS($J$5:$J202,$B$5:$B202,$B203))</f>
        <v/>
      </c>
      <c r="J203" s="19" t="str">
        <f aca="false">IF(OR($B203="",H203=""),"",MIN(C203,H203+I203))</f>
        <v/>
      </c>
      <c r="K203" s="18" t="str">
        <f aca="false">IF(OR($B203="",J203=""),"",MAX(0,MIN(C203-J203,G203)))</f>
        <v/>
      </c>
      <c r="L203" s="18" t="str">
        <f aca="false">IF(OR($B203="",K203=""),"",G203-K203)</f>
        <v/>
      </c>
      <c r="M203" s="19" t="str">
        <f aca="false">IF(OR($B203="",J203=""),"",H203+I203-J203)</f>
        <v/>
      </c>
    </row>
    <row r="204" customFormat="false" ht="15" hidden="false" customHeight="false" outlineLevel="0" collapsed="false">
      <c r="A204" s="14"/>
      <c r="B204" s="5"/>
      <c r="C204" s="9"/>
      <c r="D204" s="24" t="str">
        <f aca="false">IF($B204="","",IFERROR(INDEX(Loans!$D$6:$D$65,MATCH($B204,Loans!$A$6:$A$65,0)),""))</f>
        <v/>
      </c>
      <c r="E204" s="24" t="str">
        <f aca="false">IF($B204="","",IF(COUNTIFS($B$5:$B203,$B204)=0,D204,_xlfn.MAXIFS($A$5:$A203,$B$5:$B203,$B204)))</f>
        <v/>
      </c>
      <c r="F204" s="25" t="str">
        <f aca="false">IF(OR($B204="",A204=""),"",MAX(0,A204-E204))</f>
        <v/>
      </c>
      <c r="G204" s="19" t="str">
        <f aca="false">IF($B204="","",IFERROR(INDEX(Loans!$E$6:$E$65,MATCH($B204,Loans!$A$6:$A$65,0)),0)-SUMIFS($K$5:$K203,$B$5:$B203,$B204))</f>
        <v/>
      </c>
      <c r="H204" s="19" t="str">
        <f aca="false">IF(OR($B204="",F204=""),"",ROUND(G204*Start!$B$7*F204/Start!$B$8,2))</f>
        <v/>
      </c>
      <c r="I204" s="19" t="str">
        <f aca="false">IF($B204="","",SUMIFS($H$5:$H203,$B$5:$B203,$B204)-SUMIFS($J$5:$J203,$B$5:$B203,$B204))</f>
        <v/>
      </c>
      <c r="J204" s="19" t="str">
        <f aca="false">IF(OR($B204="",H204=""),"",MIN(C204,H204+I204))</f>
        <v/>
      </c>
      <c r="K204" s="18" t="str">
        <f aca="false">IF(OR($B204="",J204=""),"",MAX(0,MIN(C204-J204,G204)))</f>
        <v/>
      </c>
      <c r="L204" s="18" t="str">
        <f aca="false">IF(OR($B204="",K204=""),"",G204-K204)</f>
        <v/>
      </c>
      <c r="M204" s="19" t="str">
        <f aca="false">IF(OR($B204="",J204=""),"",H204+I204-J204)</f>
        <v/>
      </c>
    </row>
    <row r="205" customFormat="false" ht="15" hidden="false" customHeight="false" outlineLevel="0" collapsed="false">
      <c r="A205" s="14"/>
      <c r="B205" s="5"/>
      <c r="C205" s="9"/>
      <c r="D205" s="24" t="str">
        <f aca="false">IF($B205="","",IFERROR(INDEX(Loans!$D$6:$D$65,MATCH($B205,Loans!$A$6:$A$65,0)),""))</f>
        <v/>
      </c>
      <c r="E205" s="24" t="str">
        <f aca="false">IF($B205="","",IF(COUNTIFS($B$5:$B204,$B205)=0,D205,_xlfn.MAXIFS($A$5:$A204,$B$5:$B204,$B205)))</f>
        <v/>
      </c>
      <c r="F205" s="25" t="str">
        <f aca="false">IF(OR($B205="",A205=""),"",MAX(0,A205-E205))</f>
        <v/>
      </c>
      <c r="G205" s="19" t="str">
        <f aca="false">IF($B205="","",IFERROR(INDEX(Loans!$E$6:$E$65,MATCH($B205,Loans!$A$6:$A$65,0)),0)-SUMIFS($K$5:$K204,$B$5:$B204,$B205))</f>
        <v/>
      </c>
      <c r="H205" s="19" t="str">
        <f aca="false">IF(OR($B205="",F205=""),"",ROUND(G205*Start!$B$7*F205/Start!$B$8,2))</f>
        <v/>
      </c>
      <c r="I205" s="19" t="str">
        <f aca="false">IF($B205="","",SUMIFS($H$5:$H204,$B$5:$B204,$B205)-SUMIFS($J$5:$J204,$B$5:$B204,$B205))</f>
        <v/>
      </c>
      <c r="J205" s="19" t="str">
        <f aca="false">IF(OR($B205="",H205=""),"",MIN(C205,H205+I205))</f>
        <v/>
      </c>
      <c r="K205" s="18" t="str">
        <f aca="false">IF(OR($B205="",J205=""),"",MAX(0,MIN(C205-J205,G205)))</f>
        <v/>
      </c>
      <c r="L205" s="18" t="str">
        <f aca="false">IF(OR($B205="",K205=""),"",G205-K205)</f>
        <v/>
      </c>
      <c r="M205" s="19" t="str">
        <f aca="false">IF(OR($B205="",J205=""),"",H205+I205-J205)</f>
        <v/>
      </c>
    </row>
  </sheetData>
  <dataValidations count="1">
    <dataValidation allowBlank="true" error="Choose a loan number from the Loans sheet." errorStyle="stop" operator="between" showDropDown="false" showErrorMessage="false" showInputMessage="false" sqref="B6:B205" type="list">
      <formula1>Loans!$A$6:$A$65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0"/>
    <col collapsed="false" customWidth="true" hidden="false" outlineLevel="0" max="6" min="3" style="0" width="18"/>
  </cols>
  <sheetData>
    <row r="1" customFormat="false" ht="19.7" hidden="false" customHeight="false" outlineLevel="0" collapsed="false">
      <c r="A1" s="1" t="s">
        <v>138</v>
      </c>
    </row>
    <row r="2" customFormat="false" ht="15" hidden="false" customHeight="false" outlineLevel="0" collapsed="false">
      <c r="A2" s="2" t="s">
        <v>139</v>
      </c>
    </row>
    <row r="4" customFormat="false" ht="15" hidden="false" customHeight="false" outlineLevel="0" collapsed="false">
      <c r="B4" s="26" t="s">
        <v>140</v>
      </c>
      <c r="C4" s="19" t="n">
        <f aca="false">SUM(Repayments!J6:J205)</f>
        <v>5.17</v>
      </c>
    </row>
    <row r="5" customFormat="false" ht="15" hidden="false" customHeight="false" outlineLevel="0" collapsed="false">
      <c r="B5" s="26" t="s">
        <v>141</v>
      </c>
      <c r="C5" s="19" t="n">
        <f aca="false">-Start!$B$9</f>
        <v>-0</v>
      </c>
    </row>
    <row r="6" customFormat="false" ht="15" hidden="false" customHeight="false" outlineLevel="0" collapsed="false">
      <c r="B6" s="26" t="s">
        <v>142</v>
      </c>
      <c r="C6" s="19" t="n">
        <f aca="false">MAX(0,C4+C5)</f>
        <v>5.17</v>
      </c>
    </row>
    <row r="7" customFormat="false" ht="15" hidden="false" customHeight="false" outlineLevel="0" collapsed="false">
      <c r="B7" s="26" t="s">
        <v>143</v>
      </c>
      <c r="C7" s="19" t="n">
        <f aca="false">Savings!P46</f>
        <v>330</v>
      </c>
    </row>
    <row r="8" customFormat="false" ht="15" hidden="false" customHeight="false" outlineLevel="0" collapsed="false">
      <c r="B8" s="26" t="s">
        <v>144</v>
      </c>
      <c r="C8" s="19" t="n">
        <f aca="false">Savings!O46</f>
        <v>30</v>
      </c>
    </row>
    <row r="9" customFormat="false" ht="15" hidden="false" customHeight="false" outlineLevel="0" collapsed="false">
      <c r="B9" s="4" t="s">
        <v>145</v>
      </c>
      <c r="C9" s="18" t="n">
        <f aca="false">C6+C8</f>
        <v>35.17</v>
      </c>
    </row>
    <row r="10" customFormat="false" ht="15" hidden="false" customHeight="false" outlineLevel="0" collapsed="false">
      <c r="B10" s="26" t="s">
        <v>146</v>
      </c>
      <c r="C10" s="19" t="n">
        <f aca="false">SUM(Loans!H6:H65)</f>
        <v>75.17</v>
      </c>
    </row>
    <row r="11" customFormat="false" ht="15" hidden="false" customHeight="false" outlineLevel="0" collapsed="false">
      <c r="B11" s="4" t="s">
        <v>147</v>
      </c>
      <c r="C11" s="19" t="n">
        <f aca="false">C8+C4+C5+SUM(Repayments!K6:K205)-SUM(Loans!E6:E65)</f>
        <v>-40</v>
      </c>
    </row>
    <row r="12" customFormat="false" ht="15" hidden="false" customHeight="false" outlineLevel="0" collapsed="false">
      <c r="B12" s="26" t="s">
        <v>148</v>
      </c>
      <c r="C12" s="9"/>
      <c r="D12" s="21" t="s">
        <v>149</v>
      </c>
    </row>
    <row r="13" customFormat="false" ht="15" hidden="false" customHeight="false" outlineLevel="0" collapsed="false">
      <c r="B13" s="26" t="s">
        <v>150</v>
      </c>
      <c r="C13" s="19" t="str">
        <f aca="false">IF(C12="","type the count",C12-C11)</f>
        <v>type the count</v>
      </c>
    </row>
    <row r="14" customFormat="false" ht="15" hidden="false" customHeight="false" outlineLevel="0" collapsed="false">
      <c r="B14" s="26" t="s">
        <v>151</v>
      </c>
      <c r="C14" s="19" t="n">
        <f aca="false">MAX(0,C9-C11)</f>
        <v>75.17</v>
      </c>
      <c r="D14" s="21" t="s">
        <v>152</v>
      </c>
    </row>
    <row r="17" customFormat="false" ht="31.5" hidden="false" customHeight="true" outlineLevel="0" collapsed="false">
      <c r="A17" s="12" t="s">
        <v>26</v>
      </c>
      <c r="B17" s="12" t="s">
        <v>57</v>
      </c>
      <c r="C17" s="12" t="s">
        <v>153</v>
      </c>
      <c r="D17" s="12" t="s">
        <v>50</v>
      </c>
      <c r="E17" s="12" t="s">
        <v>154</v>
      </c>
      <c r="F17" s="12" t="s">
        <v>155</v>
      </c>
    </row>
    <row r="18" customFormat="false" ht="15" hidden="false" customHeight="false" outlineLevel="0" collapsed="false">
      <c r="A18" s="13" t="n">
        <f aca="false">Members!A6</f>
        <v>1</v>
      </c>
      <c r="B18" s="17" t="str">
        <f aca="false">IF(Members!B6="","",Members!B6)</f>
        <v>Example Member</v>
      </c>
      <c r="C18" s="19" t="n">
        <f aca="false">Savings!O6</f>
        <v>30</v>
      </c>
      <c r="D18" s="19" t="n">
        <f aca="false">Savings!P6</f>
        <v>330</v>
      </c>
      <c r="E18" s="19" t="n">
        <f aca="false">IF($C$7=0,0,ROUND(D18/$C$7*$C$6,2))</f>
        <v>5.17</v>
      </c>
      <c r="F18" s="18" t="n">
        <f aca="false">C18+E18</f>
        <v>35.17</v>
      </c>
    </row>
    <row r="19" customFormat="false" ht="15" hidden="false" customHeight="false" outlineLevel="0" collapsed="false">
      <c r="A19" s="13" t="n">
        <f aca="false">Members!A7</f>
        <v>2</v>
      </c>
      <c r="B19" s="17" t="str">
        <f aca="false">IF(Members!B7="","",Members!B7)</f>
        <v/>
      </c>
      <c r="C19" s="19" t="n">
        <f aca="false">Savings!O7</f>
        <v>0</v>
      </c>
      <c r="D19" s="19" t="n">
        <f aca="false">Savings!P7</f>
        <v>0</v>
      </c>
      <c r="E19" s="19" t="n">
        <f aca="false">IF($C$7=0,0,ROUND(D19/$C$7*$C$6,2))</f>
        <v>0</v>
      </c>
      <c r="F19" s="18" t="n">
        <f aca="false">C19+E19</f>
        <v>0</v>
      </c>
    </row>
    <row r="20" customFormat="false" ht="15" hidden="false" customHeight="false" outlineLevel="0" collapsed="false">
      <c r="A20" s="13" t="n">
        <f aca="false">Members!A8</f>
        <v>3</v>
      </c>
      <c r="B20" s="17" t="str">
        <f aca="false">IF(Members!B8="","",Members!B8)</f>
        <v/>
      </c>
      <c r="C20" s="19" t="n">
        <f aca="false">Savings!O8</f>
        <v>0</v>
      </c>
      <c r="D20" s="19" t="n">
        <f aca="false">Savings!P8</f>
        <v>0</v>
      </c>
      <c r="E20" s="19" t="n">
        <f aca="false">IF($C$7=0,0,ROUND(D20/$C$7*$C$6,2))</f>
        <v>0</v>
      </c>
      <c r="F20" s="18" t="n">
        <f aca="false">C20+E20</f>
        <v>0</v>
      </c>
    </row>
    <row r="21" customFormat="false" ht="15" hidden="false" customHeight="false" outlineLevel="0" collapsed="false">
      <c r="A21" s="13" t="n">
        <f aca="false">Members!A9</f>
        <v>4</v>
      </c>
      <c r="B21" s="17" t="str">
        <f aca="false">IF(Members!B9="","",Members!B9)</f>
        <v/>
      </c>
      <c r="C21" s="19" t="n">
        <f aca="false">Savings!O9</f>
        <v>0</v>
      </c>
      <c r="D21" s="19" t="n">
        <f aca="false">Savings!P9</f>
        <v>0</v>
      </c>
      <c r="E21" s="19" t="n">
        <f aca="false">IF($C$7=0,0,ROUND(D21/$C$7*$C$6,2))</f>
        <v>0</v>
      </c>
      <c r="F21" s="18" t="n">
        <f aca="false">C21+E21</f>
        <v>0</v>
      </c>
    </row>
    <row r="22" customFormat="false" ht="15" hidden="false" customHeight="false" outlineLevel="0" collapsed="false">
      <c r="A22" s="13" t="n">
        <f aca="false">Members!A10</f>
        <v>5</v>
      </c>
      <c r="B22" s="17" t="str">
        <f aca="false">IF(Members!B10="","",Members!B10)</f>
        <v/>
      </c>
      <c r="C22" s="19" t="n">
        <f aca="false">Savings!O10</f>
        <v>0</v>
      </c>
      <c r="D22" s="19" t="n">
        <f aca="false">Savings!P10</f>
        <v>0</v>
      </c>
      <c r="E22" s="19" t="n">
        <f aca="false">IF($C$7=0,0,ROUND(D22/$C$7*$C$6,2))</f>
        <v>0</v>
      </c>
      <c r="F22" s="18" t="n">
        <f aca="false">C22+E22</f>
        <v>0</v>
      </c>
    </row>
    <row r="23" customFormat="false" ht="15" hidden="false" customHeight="false" outlineLevel="0" collapsed="false">
      <c r="A23" s="13" t="n">
        <f aca="false">Members!A11</f>
        <v>6</v>
      </c>
      <c r="B23" s="17" t="str">
        <f aca="false">IF(Members!B11="","",Members!B11)</f>
        <v/>
      </c>
      <c r="C23" s="19" t="n">
        <f aca="false">Savings!O11</f>
        <v>0</v>
      </c>
      <c r="D23" s="19" t="n">
        <f aca="false">Savings!P11</f>
        <v>0</v>
      </c>
      <c r="E23" s="19" t="n">
        <f aca="false">IF($C$7=0,0,ROUND(D23/$C$7*$C$6,2))</f>
        <v>0</v>
      </c>
      <c r="F23" s="18" t="n">
        <f aca="false">C23+E23</f>
        <v>0</v>
      </c>
    </row>
    <row r="24" customFormat="false" ht="15" hidden="false" customHeight="false" outlineLevel="0" collapsed="false">
      <c r="A24" s="13" t="n">
        <f aca="false">Members!A12</f>
        <v>7</v>
      </c>
      <c r="B24" s="17" t="str">
        <f aca="false">IF(Members!B12="","",Members!B12)</f>
        <v/>
      </c>
      <c r="C24" s="19" t="n">
        <f aca="false">Savings!O12</f>
        <v>0</v>
      </c>
      <c r="D24" s="19" t="n">
        <f aca="false">Savings!P12</f>
        <v>0</v>
      </c>
      <c r="E24" s="19" t="n">
        <f aca="false">IF($C$7=0,0,ROUND(D24/$C$7*$C$6,2))</f>
        <v>0</v>
      </c>
      <c r="F24" s="18" t="n">
        <f aca="false">C24+E24</f>
        <v>0</v>
      </c>
    </row>
    <row r="25" customFormat="false" ht="15" hidden="false" customHeight="false" outlineLevel="0" collapsed="false">
      <c r="A25" s="13" t="n">
        <f aca="false">Members!A13</f>
        <v>8</v>
      </c>
      <c r="B25" s="17" t="str">
        <f aca="false">IF(Members!B13="","",Members!B13)</f>
        <v/>
      </c>
      <c r="C25" s="19" t="n">
        <f aca="false">Savings!O13</f>
        <v>0</v>
      </c>
      <c r="D25" s="19" t="n">
        <f aca="false">Savings!P13</f>
        <v>0</v>
      </c>
      <c r="E25" s="19" t="n">
        <f aca="false">IF($C$7=0,0,ROUND(D25/$C$7*$C$6,2))</f>
        <v>0</v>
      </c>
      <c r="F25" s="18" t="n">
        <f aca="false">C25+E25</f>
        <v>0</v>
      </c>
    </row>
    <row r="26" customFormat="false" ht="15" hidden="false" customHeight="false" outlineLevel="0" collapsed="false">
      <c r="A26" s="13" t="n">
        <f aca="false">Members!A14</f>
        <v>9</v>
      </c>
      <c r="B26" s="17" t="str">
        <f aca="false">IF(Members!B14="","",Members!B14)</f>
        <v/>
      </c>
      <c r="C26" s="19" t="n">
        <f aca="false">Savings!O14</f>
        <v>0</v>
      </c>
      <c r="D26" s="19" t="n">
        <f aca="false">Savings!P14</f>
        <v>0</v>
      </c>
      <c r="E26" s="19" t="n">
        <f aca="false">IF($C$7=0,0,ROUND(D26/$C$7*$C$6,2))</f>
        <v>0</v>
      </c>
      <c r="F26" s="18" t="n">
        <f aca="false">C26+E26</f>
        <v>0</v>
      </c>
    </row>
    <row r="27" customFormat="false" ht="15" hidden="false" customHeight="false" outlineLevel="0" collapsed="false">
      <c r="A27" s="13" t="n">
        <f aca="false">Members!A15</f>
        <v>10</v>
      </c>
      <c r="B27" s="17" t="str">
        <f aca="false">IF(Members!B15="","",Members!B15)</f>
        <v/>
      </c>
      <c r="C27" s="19" t="n">
        <f aca="false">Savings!O15</f>
        <v>0</v>
      </c>
      <c r="D27" s="19" t="n">
        <f aca="false">Savings!P15</f>
        <v>0</v>
      </c>
      <c r="E27" s="19" t="n">
        <f aca="false">IF($C$7=0,0,ROUND(D27/$C$7*$C$6,2))</f>
        <v>0</v>
      </c>
      <c r="F27" s="18" t="n">
        <f aca="false">C27+E27</f>
        <v>0</v>
      </c>
    </row>
    <row r="28" customFormat="false" ht="15" hidden="false" customHeight="false" outlineLevel="0" collapsed="false">
      <c r="A28" s="13" t="n">
        <f aca="false">Members!A16</f>
        <v>11</v>
      </c>
      <c r="B28" s="17" t="str">
        <f aca="false">IF(Members!B16="","",Members!B16)</f>
        <v/>
      </c>
      <c r="C28" s="19" t="n">
        <f aca="false">Savings!O16</f>
        <v>0</v>
      </c>
      <c r="D28" s="19" t="n">
        <f aca="false">Savings!P16</f>
        <v>0</v>
      </c>
      <c r="E28" s="19" t="n">
        <f aca="false">IF($C$7=0,0,ROUND(D28/$C$7*$C$6,2))</f>
        <v>0</v>
      </c>
      <c r="F28" s="18" t="n">
        <f aca="false">C28+E28</f>
        <v>0</v>
      </c>
    </row>
    <row r="29" customFormat="false" ht="15" hidden="false" customHeight="false" outlineLevel="0" collapsed="false">
      <c r="A29" s="13" t="n">
        <f aca="false">Members!A17</f>
        <v>12</v>
      </c>
      <c r="B29" s="17" t="str">
        <f aca="false">IF(Members!B17="","",Members!B17)</f>
        <v/>
      </c>
      <c r="C29" s="19" t="n">
        <f aca="false">Savings!O17</f>
        <v>0</v>
      </c>
      <c r="D29" s="19" t="n">
        <f aca="false">Savings!P17</f>
        <v>0</v>
      </c>
      <c r="E29" s="19" t="n">
        <f aca="false">IF($C$7=0,0,ROUND(D29/$C$7*$C$6,2))</f>
        <v>0</v>
      </c>
      <c r="F29" s="18" t="n">
        <f aca="false">C29+E29</f>
        <v>0</v>
      </c>
    </row>
    <row r="30" customFormat="false" ht="15" hidden="false" customHeight="false" outlineLevel="0" collapsed="false">
      <c r="A30" s="13" t="n">
        <f aca="false">Members!A18</f>
        <v>13</v>
      </c>
      <c r="B30" s="17" t="str">
        <f aca="false">IF(Members!B18="","",Members!B18)</f>
        <v/>
      </c>
      <c r="C30" s="19" t="n">
        <f aca="false">Savings!O18</f>
        <v>0</v>
      </c>
      <c r="D30" s="19" t="n">
        <f aca="false">Savings!P18</f>
        <v>0</v>
      </c>
      <c r="E30" s="19" t="n">
        <f aca="false">IF($C$7=0,0,ROUND(D30/$C$7*$C$6,2))</f>
        <v>0</v>
      </c>
      <c r="F30" s="18" t="n">
        <f aca="false">C30+E30</f>
        <v>0</v>
      </c>
    </row>
    <row r="31" customFormat="false" ht="15" hidden="false" customHeight="false" outlineLevel="0" collapsed="false">
      <c r="A31" s="13" t="n">
        <f aca="false">Members!A19</f>
        <v>14</v>
      </c>
      <c r="B31" s="17" t="str">
        <f aca="false">IF(Members!B19="","",Members!B19)</f>
        <v/>
      </c>
      <c r="C31" s="19" t="n">
        <f aca="false">Savings!O19</f>
        <v>0</v>
      </c>
      <c r="D31" s="19" t="n">
        <f aca="false">Savings!P19</f>
        <v>0</v>
      </c>
      <c r="E31" s="19" t="n">
        <f aca="false">IF($C$7=0,0,ROUND(D31/$C$7*$C$6,2))</f>
        <v>0</v>
      </c>
      <c r="F31" s="18" t="n">
        <f aca="false">C31+E31</f>
        <v>0</v>
      </c>
    </row>
    <row r="32" customFormat="false" ht="15" hidden="false" customHeight="false" outlineLevel="0" collapsed="false">
      <c r="A32" s="13" t="n">
        <f aca="false">Members!A20</f>
        <v>15</v>
      </c>
      <c r="B32" s="17" t="str">
        <f aca="false">IF(Members!B20="","",Members!B20)</f>
        <v/>
      </c>
      <c r="C32" s="19" t="n">
        <f aca="false">Savings!O20</f>
        <v>0</v>
      </c>
      <c r="D32" s="19" t="n">
        <f aca="false">Savings!P20</f>
        <v>0</v>
      </c>
      <c r="E32" s="19" t="n">
        <f aca="false">IF($C$7=0,0,ROUND(D32/$C$7*$C$6,2))</f>
        <v>0</v>
      </c>
      <c r="F32" s="18" t="n">
        <f aca="false">C32+E32</f>
        <v>0</v>
      </c>
    </row>
    <row r="33" customFormat="false" ht="15" hidden="false" customHeight="false" outlineLevel="0" collapsed="false">
      <c r="A33" s="13" t="n">
        <f aca="false">Members!A21</f>
        <v>16</v>
      </c>
      <c r="B33" s="17" t="str">
        <f aca="false">IF(Members!B21="","",Members!B21)</f>
        <v/>
      </c>
      <c r="C33" s="19" t="n">
        <f aca="false">Savings!O21</f>
        <v>0</v>
      </c>
      <c r="D33" s="19" t="n">
        <f aca="false">Savings!P21</f>
        <v>0</v>
      </c>
      <c r="E33" s="19" t="n">
        <f aca="false">IF($C$7=0,0,ROUND(D33/$C$7*$C$6,2))</f>
        <v>0</v>
      </c>
      <c r="F33" s="18" t="n">
        <f aca="false">C33+E33</f>
        <v>0</v>
      </c>
    </row>
    <row r="34" customFormat="false" ht="15" hidden="false" customHeight="false" outlineLevel="0" collapsed="false">
      <c r="A34" s="13" t="n">
        <f aca="false">Members!A22</f>
        <v>17</v>
      </c>
      <c r="B34" s="17" t="str">
        <f aca="false">IF(Members!B22="","",Members!B22)</f>
        <v/>
      </c>
      <c r="C34" s="19" t="n">
        <f aca="false">Savings!O22</f>
        <v>0</v>
      </c>
      <c r="D34" s="19" t="n">
        <f aca="false">Savings!P22</f>
        <v>0</v>
      </c>
      <c r="E34" s="19" t="n">
        <f aca="false">IF($C$7=0,0,ROUND(D34/$C$7*$C$6,2))</f>
        <v>0</v>
      </c>
      <c r="F34" s="18" t="n">
        <f aca="false">C34+E34</f>
        <v>0</v>
      </c>
    </row>
    <row r="35" customFormat="false" ht="15" hidden="false" customHeight="false" outlineLevel="0" collapsed="false">
      <c r="A35" s="13" t="n">
        <f aca="false">Members!A23</f>
        <v>18</v>
      </c>
      <c r="B35" s="17" t="str">
        <f aca="false">IF(Members!B23="","",Members!B23)</f>
        <v/>
      </c>
      <c r="C35" s="19" t="n">
        <f aca="false">Savings!O23</f>
        <v>0</v>
      </c>
      <c r="D35" s="19" t="n">
        <f aca="false">Savings!P23</f>
        <v>0</v>
      </c>
      <c r="E35" s="19" t="n">
        <f aca="false">IF($C$7=0,0,ROUND(D35/$C$7*$C$6,2))</f>
        <v>0</v>
      </c>
      <c r="F35" s="18" t="n">
        <f aca="false">C35+E35</f>
        <v>0</v>
      </c>
    </row>
    <row r="36" customFormat="false" ht="15" hidden="false" customHeight="false" outlineLevel="0" collapsed="false">
      <c r="A36" s="13" t="n">
        <f aca="false">Members!A24</f>
        <v>19</v>
      </c>
      <c r="B36" s="17" t="str">
        <f aca="false">IF(Members!B24="","",Members!B24)</f>
        <v/>
      </c>
      <c r="C36" s="19" t="n">
        <f aca="false">Savings!O24</f>
        <v>0</v>
      </c>
      <c r="D36" s="19" t="n">
        <f aca="false">Savings!P24</f>
        <v>0</v>
      </c>
      <c r="E36" s="19" t="n">
        <f aca="false">IF($C$7=0,0,ROUND(D36/$C$7*$C$6,2))</f>
        <v>0</v>
      </c>
      <c r="F36" s="18" t="n">
        <f aca="false">C36+E36</f>
        <v>0</v>
      </c>
    </row>
    <row r="37" customFormat="false" ht="15" hidden="false" customHeight="false" outlineLevel="0" collapsed="false">
      <c r="A37" s="13" t="n">
        <f aca="false">Members!A25</f>
        <v>20</v>
      </c>
      <c r="B37" s="17" t="str">
        <f aca="false">IF(Members!B25="","",Members!B25)</f>
        <v/>
      </c>
      <c r="C37" s="19" t="n">
        <f aca="false">Savings!O25</f>
        <v>0</v>
      </c>
      <c r="D37" s="19" t="n">
        <f aca="false">Savings!P25</f>
        <v>0</v>
      </c>
      <c r="E37" s="19" t="n">
        <f aca="false">IF($C$7=0,0,ROUND(D37/$C$7*$C$6,2))</f>
        <v>0</v>
      </c>
      <c r="F37" s="18" t="n">
        <f aca="false">C37+E37</f>
        <v>0</v>
      </c>
    </row>
    <row r="38" customFormat="false" ht="15" hidden="false" customHeight="false" outlineLevel="0" collapsed="false">
      <c r="A38" s="13" t="n">
        <f aca="false">Members!A26</f>
        <v>21</v>
      </c>
      <c r="B38" s="17" t="str">
        <f aca="false">IF(Members!B26="","",Members!B26)</f>
        <v/>
      </c>
      <c r="C38" s="19" t="n">
        <f aca="false">Savings!O26</f>
        <v>0</v>
      </c>
      <c r="D38" s="19" t="n">
        <f aca="false">Savings!P26</f>
        <v>0</v>
      </c>
      <c r="E38" s="19" t="n">
        <f aca="false">IF($C$7=0,0,ROUND(D38/$C$7*$C$6,2))</f>
        <v>0</v>
      </c>
      <c r="F38" s="18" t="n">
        <f aca="false">C38+E38</f>
        <v>0</v>
      </c>
    </row>
    <row r="39" customFormat="false" ht="15" hidden="false" customHeight="false" outlineLevel="0" collapsed="false">
      <c r="A39" s="13" t="n">
        <f aca="false">Members!A27</f>
        <v>22</v>
      </c>
      <c r="B39" s="17" t="str">
        <f aca="false">IF(Members!B27="","",Members!B27)</f>
        <v/>
      </c>
      <c r="C39" s="19" t="n">
        <f aca="false">Savings!O27</f>
        <v>0</v>
      </c>
      <c r="D39" s="19" t="n">
        <f aca="false">Savings!P27</f>
        <v>0</v>
      </c>
      <c r="E39" s="19" t="n">
        <f aca="false">IF($C$7=0,0,ROUND(D39/$C$7*$C$6,2))</f>
        <v>0</v>
      </c>
      <c r="F39" s="18" t="n">
        <f aca="false">C39+E39</f>
        <v>0</v>
      </c>
    </row>
    <row r="40" customFormat="false" ht="15" hidden="false" customHeight="false" outlineLevel="0" collapsed="false">
      <c r="A40" s="13" t="n">
        <f aca="false">Members!A28</f>
        <v>23</v>
      </c>
      <c r="B40" s="17" t="str">
        <f aca="false">IF(Members!B28="","",Members!B28)</f>
        <v/>
      </c>
      <c r="C40" s="19" t="n">
        <f aca="false">Savings!O28</f>
        <v>0</v>
      </c>
      <c r="D40" s="19" t="n">
        <f aca="false">Savings!P28</f>
        <v>0</v>
      </c>
      <c r="E40" s="19" t="n">
        <f aca="false">IF($C$7=0,0,ROUND(D40/$C$7*$C$6,2))</f>
        <v>0</v>
      </c>
      <c r="F40" s="18" t="n">
        <f aca="false">C40+E40</f>
        <v>0</v>
      </c>
    </row>
    <row r="41" customFormat="false" ht="15" hidden="false" customHeight="false" outlineLevel="0" collapsed="false">
      <c r="A41" s="13" t="n">
        <f aca="false">Members!A29</f>
        <v>24</v>
      </c>
      <c r="B41" s="17" t="str">
        <f aca="false">IF(Members!B29="","",Members!B29)</f>
        <v/>
      </c>
      <c r="C41" s="19" t="n">
        <f aca="false">Savings!O29</f>
        <v>0</v>
      </c>
      <c r="D41" s="19" t="n">
        <f aca="false">Savings!P29</f>
        <v>0</v>
      </c>
      <c r="E41" s="19" t="n">
        <f aca="false">IF($C$7=0,0,ROUND(D41/$C$7*$C$6,2))</f>
        <v>0</v>
      </c>
      <c r="F41" s="18" t="n">
        <f aca="false">C41+E41</f>
        <v>0</v>
      </c>
    </row>
    <row r="42" customFormat="false" ht="15" hidden="false" customHeight="false" outlineLevel="0" collapsed="false">
      <c r="A42" s="13" t="n">
        <f aca="false">Members!A30</f>
        <v>25</v>
      </c>
      <c r="B42" s="17" t="str">
        <f aca="false">IF(Members!B30="","",Members!B30)</f>
        <v/>
      </c>
      <c r="C42" s="19" t="n">
        <f aca="false">Savings!O30</f>
        <v>0</v>
      </c>
      <c r="D42" s="19" t="n">
        <f aca="false">Savings!P30</f>
        <v>0</v>
      </c>
      <c r="E42" s="19" t="n">
        <f aca="false">IF($C$7=0,0,ROUND(D42/$C$7*$C$6,2))</f>
        <v>0</v>
      </c>
      <c r="F42" s="18" t="n">
        <f aca="false">C42+E42</f>
        <v>0</v>
      </c>
    </row>
    <row r="43" customFormat="false" ht="15" hidden="false" customHeight="false" outlineLevel="0" collapsed="false">
      <c r="A43" s="13" t="n">
        <f aca="false">Members!A31</f>
        <v>26</v>
      </c>
      <c r="B43" s="17" t="str">
        <f aca="false">IF(Members!B31="","",Members!B31)</f>
        <v/>
      </c>
      <c r="C43" s="19" t="n">
        <f aca="false">Savings!O31</f>
        <v>0</v>
      </c>
      <c r="D43" s="19" t="n">
        <f aca="false">Savings!P31</f>
        <v>0</v>
      </c>
      <c r="E43" s="19" t="n">
        <f aca="false">IF($C$7=0,0,ROUND(D43/$C$7*$C$6,2))</f>
        <v>0</v>
      </c>
      <c r="F43" s="18" t="n">
        <f aca="false">C43+E43</f>
        <v>0</v>
      </c>
    </row>
    <row r="44" customFormat="false" ht="15" hidden="false" customHeight="false" outlineLevel="0" collapsed="false">
      <c r="A44" s="13" t="n">
        <f aca="false">Members!A32</f>
        <v>27</v>
      </c>
      <c r="B44" s="17" t="str">
        <f aca="false">IF(Members!B32="","",Members!B32)</f>
        <v/>
      </c>
      <c r="C44" s="19" t="n">
        <f aca="false">Savings!O32</f>
        <v>0</v>
      </c>
      <c r="D44" s="19" t="n">
        <f aca="false">Savings!P32</f>
        <v>0</v>
      </c>
      <c r="E44" s="19" t="n">
        <f aca="false">IF($C$7=0,0,ROUND(D44/$C$7*$C$6,2))</f>
        <v>0</v>
      </c>
      <c r="F44" s="18" t="n">
        <f aca="false">C44+E44</f>
        <v>0</v>
      </c>
    </row>
    <row r="45" customFormat="false" ht="15" hidden="false" customHeight="false" outlineLevel="0" collapsed="false">
      <c r="A45" s="13" t="n">
        <f aca="false">Members!A33</f>
        <v>28</v>
      </c>
      <c r="B45" s="17" t="str">
        <f aca="false">IF(Members!B33="","",Members!B33)</f>
        <v/>
      </c>
      <c r="C45" s="19" t="n">
        <f aca="false">Savings!O33</f>
        <v>0</v>
      </c>
      <c r="D45" s="19" t="n">
        <f aca="false">Savings!P33</f>
        <v>0</v>
      </c>
      <c r="E45" s="19" t="n">
        <f aca="false">IF($C$7=0,0,ROUND(D45/$C$7*$C$6,2))</f>
        <v>0</v>
      </c>
      <c r="F45" s="18" t="n">
        <f aca="false">C45+E45</f>
        <v>0</v>
      </c>
    </row>
    <row r="46" customFormat="false" ht="15" hidden="false" customHeight="false" outlineLevel="0" collapsed="false">
      <c r="A46" s="13" t="n">
        <f aca="false">Members!A34</f>
        <v>29</v>
      </c>
      <c r="B46" s="17" t="str">
        <f aca="false">IF(Members!B34="","",Members!B34)</f>
        <v/>
      </c>
      <c r="C46" s="19" t="n">
        <f aca="false">Savings!O34</f>
        <v>0</v>
      </c>
      <c r="D46" s="19" t="n">
        <f aca="false">Savings!P34</f>
        <v>0</v>
      </c>
      <c r="E46" s="19" t="n">
        <f aca="false">IF($C$7=0,0,ROUND(D46/$C$7*$C$6,2))</f>
        <v>0</v>
      </c>
      <c r="F46" s="18" t="n">
        <f aca="false">C46+E46</f>
        <v>0</v>
      </c>
    </row>
    <row r="47" customFormat="false" ht="15" hidden="false" customHeight="false" outlineLevel="0" collapsed="false">
      <c r="A47" s="13" t="n">
        <f aca="false">Members!A35</f>
        <v>30</v>
      </c>
      <c r="B47" s="17" t="str">
        <f aca="false">IF(Members!B35="","",Members!B35)</f>
        <v/>
      </c>
      <c r="C47" s="19" t="n">
        <f aca="false">Savings!O35</f>
        <v>0</v>
      </c>
      <c r="D47" s="19" t="n">
        <f aca="false">Savings!P35</f>
        <v>0</v>
      </c>
      <c r="E47" s="19" t="n">
        <f aca="false">IF($C$7=0,0,ROUND(D47/$C$7*$C$6,2))</f>
        <v>0</v>
      </c>
      <c r="F47" s="18" t="n">
        <f aca="false">C47+E47</f>
        <v>0</v>
      </c>
    </row>
    <row r="48" customFormat="false" ht="15" hidden="false" customHeight="false" outlineLevel="0" collapsed="false">
      <c r="A48" s="13" t="n">
        <f aca="false">Members!A36</f>
        <v>31</v>
      </c>
      <c r="B48" s="17" t="str">
        <f aca="false">IF(Members!B36="","",Members!B36)</f>
        <v/>
      </c>
      <c r="C48" s="19" t="n">
        <f aca="false">Savings!O36</f>
        <v>0</v>
      </c>
      <c r="D48" s="19" t="n">
        <f aca="false">Savings!P36</f>
        <v>0</v>
      </c>
      <c r="E48" s="19" t="n">
        <f aca="false">IF($C$7=0,0,ROUND(D48/$C$7*$C$6,2))</f>
        <v>0</v>
      </c>
      <c r="F48" s="18" t="n">
        <f aca="false">C48+E48</f>
        <v>0</v>
      </c>
    </row>
    <row r="49" customFormat="false" ht="15" hidden="false" customHeight="false" outlineLevel="0" collapsed="false">
      <c r="A49" s="13" t="n">
        <f aca="false">Members!A37</f>
        <v>32</v>
      </c>
      <c r="B49" s="17" t="str">
        <f aca="false">IF(Members!B37="","",Members!B37)</f>
        <v/>
      </c>
      <c r="C49" s="19" t="n">
        <f aca="false">Savings!O37</f>
        <v>0</v>
      </c>
      <c r="D49" s="19" t="n">
        <f aca="false">Savings!P37</f>
        <v>0</v>
      </c>
      <c r="E49" s="19" t="n">
        <f aca="false">IF($C$7=0,0,ROUND(D49/$C$7*$C$6,2))</f>
        <v>0</v>
      </c>
      <c r="F49" s="18" t="n">
        <f aca="false">C49+E49</f>
        <v>0</v>
      </c>
    </row>
    <row r="50" customFormat="false" ht="15" hidden="false" customHeight="false" outlineLevel="0" collapsed="false">
      <c r="A50" s="13" t="n">
        <f aca="false">Members!A38</f>
        <v>33</v>
      </c>
      <c r="B50" s="17" t="str">
        <f aca="false">IF(Members!B38="","",Members!B38)</f>
        <v/>
      </c>
      <c r="C50" s="19" t="n">
        <f aca="false">Savings!O38</f>
        <v>0</v>
      </c>
      <c r="D50" s="19" t="n">
        <f aca="false">Savings!P38</f>
        <v>0</v>
      </c>
      <c r="E50" s="19" t="n">
        <f aca="false">IF($C$7=0,0,ROUND(D50/$C$7*$C$6,2))</f>
        <v>0</v>
      </c>
      <c r="F50" s="18" t="n">
        <f aca="false">C50+E50</f>
        <v>0</v>
      </c>
    </row>
    <row r="51" customFormat="false" ht="15" hidden="false" customHeight="false" outlineLevel="0" collapsed="false">
      <c r="A51" s="13" t="n">
        <f aca="false">Members!A39</f>
        <v>34</v>
      </c>
      <c r="B51" s="17" t="str">
        <f aca="false">IF(Members!B39="","",Members!B39)</f>
        <v/>
      </c>
      <c r="C51" s="19" t="n">
        <f aca="false">Savings!O39</f>
        <v>0</v>
      </c>
      <c r="D51" s="19" t="n">
        <f aca="false">Savings!P39</f>
        <v>0</v>
      </c>
      <c r="E51" s="19" t="n">
        <f aca="false">IF($C$7=0,0,ROUND(D51/$C$7*$C$6,2))</f>
        <v>0</v>
      </c>
      <c r="F51" s="18" t="n">
        <f aca="false">C51+E51</f>
        <v>0</v>
      </c>
    </row>
    <row r="52" customFormat="false" ht="15" hidden="false" customHeight="false" outlineLevel="0" collapsed="false">
      <c r="A52" s="13" t="n">
        <f aca="false">Members!A40</f>
        <v>35</v>
      </c>
      <c r="B52" s="17" t="str">
        <f aca="false">IF(Members!B40="","",Members!B40)</f>
        <v/>
      </c>
      <c r="C52" s="19" t="n">
        <f aca="false">Savings!O40</f>
        <v>0</v>
      </c>
      <c r="D52" s="19" t="n">
        <f aca="false">Savings!P40</f>
        <v>0</v>
      </c>
      <c r="E52" s="19" t="n">
        <f aca="false">IF($C$7=0,0,ROUND(D52/$C$7*$C$6,2))</f>
        <v>0</v>
      </c>
      <c r="F52" s="18" t="n">
        <f aca="false">C52+E52</f>
        <v>0</v>
      </c>
    </row>
    <row r="53" customFormat="false" ht="15" hidden="false" customHeight="false" outlineLevel="0" collapsed="false">
      <c r="A53" s="13" t="n">
        <f aca="false">Members!A41</f>
        <v>36</v>
      </c>
      <c r="B53" s="17" t="str">
        <f aca="false">IF(Members!B41="","",Members!B41)</f>
        <v/>
      </c>
      <c r="C53" s="19" t="n">
        <f aca="false">Savings!O41</f>
        <v>0</v>
      </c>
      <c r="D53" s="19" t="n">
        <f aca="false">Savings!P41</f>
        <v>0</v>
      </c>
      <c r="E53" s="19" t="n">
        <f aca="false">IF($C$7=0,0,ROUND(D53/$C$7*$C$6,2))</f>
        <v>0</v>
      </c>
      <c r="F53" s="18" t="n">
        <f aca="false">C53+E53</f>
        <v>0</v>
      </c>
    </row>
    <row r="54" customFormat="false" ht="15" hidden="false" customHeight="false" outlineLevel="0" collapsed="false">
      <c r="A54" s="13" t="n">
        <f aca="false">Members!A42</f>
        <v>37</v>
      </c>
      <c r="B54" s="17" t="str">
        <f aca="false">IF(Members!B42="","",Members!B42)</f>
        <v/>
      </c>
      <c r="C54" s="19" t="n">
        <f aca="false">Savings!O42</f>
        <v>0</v>
      </c>
      <c r="D54" s="19" t="n">
        <f aca="false">Savings!P42</f>
        <v>0</v>
      </c>
      <c r="E54" s="19" t="n">
        <f aca="false">IF($C$7=0,0,ROUND(D54/$C$7*$C$6,2))</f>
        <v>0</v>
      </c>
      <c r="F54" s="18" t="n">
        <f aca="false">C54+E54</f>
        <v>0</v>
      </c>
    </row>
    <row r="55" customFormat="false" ht="15" hidden="false" customHeight="false" outlineLevel="0" collapsed="false">
      <c r="A55" s="13" t="n">
        <f aca="false">Members!A43</f>
        <v>38</v>
      </c>
      <c r="B55" s="17" t="str">
        <f aca="false">IF(Members!B43="","",Members!B43)</f>
        <v/>
      </c>
      <c r="C55" s="19" t="n">
        <f aca="false">Savings!O43</f>
        <v>0</v>
      </c>
      <c r="D55" s="19" t="n">
        <f aca="false">Savings!P43</f>
        <v>0</v>
      </c>
      <c r="E55" s="19" t="n">
        <f aca="false">IF($C$7=0,0,ROUND(D55/$C$7*$C$6,2))</f>
        <v>0</v>
      </c>
      <c r="F55" s="18" t="n">
        <f aca="false">C55+E55</f>
        <v>0</v>
      </c>
    </row>
    <row r="56" customFormat="false" ht="15" hidden="false" customHeight="false" outlineLevel="0" collapsed="false">
      <c r="A56" s="13" t="n">
        <f aca="false">Members!A44</f>
        <v>39</v>
      </c>
      <c r="B56" s="17" t="str">
        <f aca="false">IF(Members!B44="","",Members!B44)</f>
        <v/>
      </c>
      <c r="C56" s="19" t="n">
        <f aca="false">Savings!O44</f>
        <v>0</v>
      </c>
      <c r="D56" s="19" t="n">
        <f aca="false">Savings!P44</f>
        <v>0</v>
      </c>
      <c r="E56" s="19" t="n">
        <f aca="false">IF($C$7=0,0,ROUND(D56/$C$7*$C$6,2))</f>
        <v>0</v>
      </c>
      <c r="F56" s="18" t="n">
        <f aca="false">C56+E56</f>
        <v>0</v>
      </c>
    </row>
    <row r="57" customFormat="false" ht="15" hidden="false" customHeight="false" outlineLevel="0" collapsed="false">
      <c r="A57" s="13" t="n">
        <f aca="false">Members!A45</f>
        <v>40</v>
      </c>
      <c r="B57" s="17" t="str">
        <f aca="false">IF(Members!B45="","",Members!B45)</f>
        <v/>
      </c>
      <c r="C57" s="19" t="n">
        <f aca="false">Savings!O45</f>
        <v>0</v>
      </c>
      <c r="D57" s="19" t="n">
        <f aca="false">Savings!P45</f>
        <v>0</v>
      </c>
      <c r="E57" s="19" t="n">
        <f aca="false">IF($C$7=0,0,ROUND(D57/$C$7*$C$6,2))</f>
        <v>0</v>
      </c>
      <c r="F57" s="18" t="n">
        <f aca="false">C57+E57</f>
        <v>0</v>
      </c>
    </row>
    <row r="58" customFormat="false" ht="15" hidden="false" customHeight="false" outlineLevel="0" collapsed="false">
      <c r="B58" s="4" t="s">
        <v>51</v>
      </c>
      <c r="C58" s="20" t="n">
        <f aca="false">SUM(C18:C57)</f>
        <v>30</v>
      </c>
      <c r="D58" s="20" t="n">
        <f aca="false">SUM(D18:D57)</f>
        <v>330</v>
      </c>
      <c r="E58" s="20" t="n">
        <f aca="false">SUM(E18:E57)</f>
        <v>5.17</v>
      </c>
      <c r="F58" s="20" t="n">
        <f aca="false">SUM(F18:F57)</f>
        <v>35.17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2026-10-28T06:34:10Z</dcterms:created>
  <dc:creator>openpyxl</dc:creator>
  <dc:description/>
  <dc:language>en-US</dc:language>
  <cp:lastModifiedBy/>
  <dcterms:modified xsi:type="dcterms:W3CDTF">2026-10-28T06:34:10Z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